
<file path=[Content_Types].xml><?xml version="1.0" encoding="utf-8"?>
<Types xmlns="http://schemas.openxmlformats.org/package/2006/content-types">
  <Override PartName="/xl/tables/table4.xml" ContentType="application/vnd.openxmlformats-officedocument.spreadsheetml.table+xml"/>
  <Override PartName="/xl/tables/table25.xml" ContentType="application/vnd.openxmlformats-officedocument.spreadsheetml.table+xml"/>
  <Override PartName="/xl/tables/table43.xml" ContentType="application/vnd.openxmlformats-officedocument.spreadsheetml.table+xml"/>
  <Override PartName="/xl/tables/table54.xml" ContentType="application/vnd.openxmlformats-officedocument.spreadsheetml.table+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tables/table2.xml" ContentType="application/vnd.openxmlformats-officedocument.spreadsheetml.table+xml"/>
  <Override PartName="/xl/tables/table14.xml" ContentType="application/vnd.openxmlformats-officedocument.spreadsheetml.table+xml"/>
  <Override PartName="/xl/tables/table23.xml" ContentType="application/vnd.openxmlformats-officedocument.spreadsheetml.table+xml"/>
  <Override PartName="/xl/charts/chart4.xml" ContentType="application/vnd.openxmlformats-officedocument.drawingml.chart+xml"/>
  <Override PartName="/xl/tables/table32.xml" ContentType="application/vnd.openxmlformats-officedocument.spreadsheetml.table+xml"/>
  <Override PartName="/xl/tables/table41.xml" ContentType="application/vnd.openxmlformats-officedocument.spreadsheetml.table+xml"/>
  <Override PartName="/xl/tables/table52.xml" ContentType="application/vnd.openxmlformats-officedocument.spreadsheetml.table+xml"/>
  <Override PartName="/xl/tables/table61.xml" ContentType="application/vnd.openxmlformats-officedocument.spreadsheetml.table+xml"/>
  <Override PartName="/xl/worksheets/sheet7.xml" ContentType="application/vnd.openxmlformats-officedocument.spreadsheetml.worksheet+xml"/>
  <Override PartName="/xl/worksheets/sheet11.xml" ContentType="application/vnd.openxmlformats-officedocument.spreadsheetml.worksheet+xml"/>
  <Override PartName="/xl/tables/table12.xml" ContentType="application/vnd.openxmlformats-officedocument.spreadsheetml.table+xml"/>
  <Override PartName="/xl/tables/table21.xml" ContentType="application/vnd.openxmlformats-officedocument.spreadsheetml.table+xml"/>
  <Override PartName="/xl/charts/chart2.xml" ContentType="application/vnd.openxmlformats-officedocument.drawingml.chart+xml"/>
  <Override PartName="/xl/tables/table30.xml" ContentType="application/vnd.openxmlformats-officedocument.spreadsheetml.table+xml"/>
  <Override PartName="/xl/tables/table50.xml" ContentType="application/vnd.openxmlformats-officedocument.spreadsheetml.table+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tables/table10.xml" ContentType="application/vnd.openxmlformats-officedocument.spreadsheetml.table+xml"/>
  <Override PartName="/xl/drawings/drawing2.xml" ContentType="application/vnd.openxmlformats-officedocument.drawing+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tables/table9.xml" ContentType="application/vnd.openxmlformats-officedocument.spreadsheetml.table+xml"/>
  <Override PartName="/xl/tables/table59.xml" ContentType="application/vnd.openxmlformats-officedocument.spreadsheetml.table+xml"/>
  <Override PartName="/xl/sharedStrings.xml" ContentType="application/vnd.openxmlformats-officedocument.spreadsheetml.sharedStrings+xml"/>
  <Override PartName="/xl/tables/table7.xml" ContentType="application/vnd.openxmlformats-officedocument.spreadsheetml.table+xml"/>
  <Override PartName="/xl/tables/table19.xml" ContentType="application/vnd.openxmlformats-officedocument.spreadsheetml.table+xml"/>
  <Override PartName="/xl/tables/table39.xml" ContentType="application/vnd.openxmlformats-officedocument.spreadsheetml.table+xml"/>
  <Override PartName="/xl/tables/table48.xml" ContentType="application/vnd.openxmlformats-officedocument.spreadsheetml.table+xml"/>
  <Override PartName="/xl/tables/table57.xml" ContentType="application/vnd.openxmlformats-officedocument.spreadsheetml.table+xml"/>
  <Override PartName="/xl/tables/table5.xml" ContentType="application/vnd.openxmlformats-officedocument.spreadsheetml.table+xml"/>
  <Override PartName="/xl/tables/table17.xml" ContentType="application/vnd.openxmlformats-officedocument.spreadsheetml.table+xml"/>
  <Override PartName="/xl/tables/table26.xml" ContentType="application/vnd.openxmlformats-officedocument.spreadsheetml.table+xml"/>
  <Override PartName="/xl/tables/table28.xml" ContentType="application/vnd.openxmlformats-officedocument.spreadsheetml.table+xml"/>
  <Override PartName="/xl/tables/table37.xml" ContentType="application/vnd.openxmlformats-officedocument.spreadsheetml.table+xml"/>
  <Override PartName="/xl/tables/table46.xml" ContentType="application/vnd.openxmlformats-officedocument.spreadsheetml.table+xml"/>
  <Override PartName="/xl/tables/table55.xml" ContentType="application/vnd.openxmlformats-officedocument.spreadsheetml.table+xml"/>
  <Default Extension="bin" ContentType="application/vnd.openxmlformats-officedocument.spreadsheetml.printerSettings"/>
  <Override PartName="/xl/tables/table3.xml" ContentType="application/vnd.openxmlformats-officedocument.spreadsheetml.table+xml"/>
  <Override PartName="/xl/tables/table15.xml" ContentType="application/vnd.openxmlformats-officedocument.spreadsheetml.table+xml"/>
  <Override PartName="/xl/tables/table24.xml" ContentType="application/vnd.openxmlformats-officedocument.spreadsheetml.table+xml"/>
  <Override PartName="/xl/tables/table35.xml" ContentType="application/vnd.openxmlformats-officedocument.spreadsheetml.table+xml"/>
  <Override PartName="/xl/tables/table44.xml" ContentType="application/vnd.openxmlformats-officedocument.spreadsheetml.table+xml"/>
  <Override PartName="/xl/tables/table53.xml" ContentType="application/vnd.openxmlformats-officedocument.spreadsheetml.table+xml"/>
  <Override PartName="/xl/tables/table62.xml" ContentType="application/vnd.openxmlformats-officedocument.spreadsheetml.table+xml"/>
  <Override PartName="/xl/tables/table1.xml" ContentType="application/vnd.openxmlformats-officedocument.spreadsheetml.table+xml"/>
  <Override PartName="/xl/tables/table13.xml" ContentType="application/vnd.openxmlformats-officedocument.spreadsheetml.table+xml"/>
  <Override PartName="/xl/tables/table22.xml" ContentType="application/vnd.openxmlformats-officedocument.spreadsheetml.table+xml"/>
  <Override PartName="/xl/tables/table33.xml" ContentType="application/vnd.openxmlformats-officedocument.spreadsheetml.table+xml"/>
  <Override PartName="/xl/tables/table42.xml" ContentType="application/vnd.openxmlformats-officedocument.spreadsheetml.table+xml"/>
  <Override PartName="/xl/tables/table51.xml" ContentType="application/vnd.openxmlformats-officedocument.spreadsheetml.table+xml"/>
  <Override PartName="/xl/tables/table60.xml" ContentType="application/vnd.openxmlformats-officedocument.spreadsheetml.table+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Default Extension="jpeg" ContentType="image/jpeg"/>
  <Override PartName="/xl/tables/table11.xml" ContentType="application/vnd.openxmlformats-officedocument.spreadsheetml.table+xml"/>
  <Override PartName="/xl/tables/table20.xml" ContentType="application/vnd.openxmlformats-officedocument.spreadsheetml.table+xml"/>
  <Override PartName="/xl/charts/chart3.xml" ContentType="application/vnd.openxmlformats-officedocument.drawingml.chart+xml"/>
  <Override PartName="/xl/tables/table31.xml" ContentType="application/vnd.openxmlformats-officedocument.spreadsheetml.table+xml"/>
  <Override PartName="/xl/tables/table40.xml" ContentType="application/vnd.openxmlformats-officedocument.spreadsheetml.table+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Default Extension="vml" ContentType="application/vnd.openxmlformats-officedocument.vmlDrawing"/>
  <Override PartName="/xl/comments1.xml" ContentType="application/vnd.openxmlformats-officedocument.spreadsheetml.comments+xml"/>
  <Override PartName="/xl/tables/table49.xml" ContentType="application/vnd.openxmlformats-officedocument.spreadsheetml.table+xml"/>
  <Override PartName="/xl/calcChain.xml" ContentType="application/vnd.openxmlformats-officedocument.spreadsheetml.calcChain+xml"/>
  <Override PartName="/xl/tables/table8.xml" ContentType="application/vnd.openxmlformats-officedocument.spreadsheetml.table+xml"/>
  <Override PartName="/xl/tables/table29.xml" ContentType="application/vnd.openxmlformats-officedocument.spreadsheetml.table+xml"/>
  <Override PartName="/xl/tables/table38.xml" ContentType="application/vnd.openxmlformats-officedocument.spreadsheetml.table+xml"/>
  <Override PartName="/xl/tables/table47.xml" ContentType="application/vnd.openxmlformats-officedocument.spreadsheetml.table+xml"/>
  <Override PartName="/xl/tables/table58.xml" ContentType="application/vnd.openxmlformats-officedocument.spreadsheetml.table+xml"/>
  <Override PartName="/xl/tables/table6.xml" ContentType="application/vnd.openxmlformats-officedocument.spreadsheetml.table+xml"/>
  <Override PartName="/xl/tables/table18.xml" ContentType="application/vnd.openxmlformats-officedocument.spreadsheetml.table+xml"/>
  <Override PartName="/xl/tables/table27.xml" ContentType="application/vnd.openxmlformats-officedocument.spreadsheetml.table+xml"/>
  <Override PartName="/xl/tables/table36.xml" ContentType="application/vnd.openxmlformats-officedocument.spreadsheetml.table+xml"/>
  <Override PartName="/xl/tables/table45.xml" ContentType="application/vnd.openxmlformats-officedocument.spreadsheetml.table+xml"/>
  <Override PartName="/xl/tables/table56.xml" ContentType="application/vnd.openxmlformats-officedocument.spreadsheetml.table+xml"/>
  <Override PartName="/docProps/core.xml" ContentType="application/vnd.openxmlformats-package.core-properties+xml"/>
  <Override PartName="/xl/tables/table16.xml" ContentType="application/vnd.openxmlformats-officedocument.spreadsheetml.table+xml"/>
  <Override PartName="/xl/tables/table34.xml" ContentType="application/vnd.openxmlformats-officedocument.spreadsheetml.table+xml"/>
  <Override PartName="/xl/charts/chart6.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45" windowWidth="20115" windowHeight="7995" tabRatio="909" firstSheet="2" activeTab="11"/>
  </bookViews>
  <sheets>
    <sheet name="Indice" sheetId="17" r:id="rId1"/>
    <sheet name="1.Estado Situación" sheetId="10" r:id="rId2"/>
    <sheet name="2.Estado Resultados" sheetId="1" r:id="rId3"/>
    <sheet name="3.Flujo efectivo financiero" sheetId="20" r:id="rId4"/>
    <sheet name="4.A. Vertical" sheetId="13" r:id="rId5"/>
    <sheet name="5.A. horizontal" sheetId="15" r:id="rId6"/>
    <sheet name="6. Índices financieros" sheetId="22" r:id="rId7"/>
    <sheet name="7.Dupont" sheetId="4" r:id="rId8"/>
    <sheet name="8.Solidez" sheetId="5" r:id="rId9"/>
    <sheet name="9.Fuentes y empleos" sheetId="14" r:id="rId10"/>
    <sheet name="10.Puntualidad" sheetId="7" r:id="rId11"/>
    <sheet name="Resumen" sheetId="19" r:id="rId12"/>
  </sheets>
  <externalReferences>
    <externalReference r:id="rId13"/>
    <externalReference r:id="rId14"/>
  </externalReferences>
  <definedNames>
    <definedName name="PCAT10">[1]PCA10!$A$2:$K$15</definedName>
    <definedName name="PCAT11">[1]PCA11!$A$2:$K$15</definedName>
    <definedName name="PCAT12">[1]PCA12!$A$2:$E$15</definedName>
    <definedName name="PCAT8">[1]PCA8!$A$2:$K$15</definedName>
    <definedName name="PCAT9">[1]PCA9!$A$2:$K$15</definedName>
    <definedName name="_xlnm.Print_Area" localSheetId="0">Indice!$A$1:$C$27</definedName>
  </definedNames>
  <calcPr calcId="125725"/>
</workbook>
</file>

<file path=xl/calcChain.xml><?xml version="1.0" encoding="utf-8"?>
<calcChain xmlns="http://schemas.openxmlformats.org/spreadsheetml/2006/main">
  <c r="G64" i="7"/>
  <c r="E64"/>
  <c r="C64"/>
  <c r="B64"/>
  <c r="E28" i="20" l="1"/>
  <c r="D28"/>
  <c r="C28"/>
  <c r="B28"/>
  <c r="I49" i="15"/>
  <c r="F49"/>
  <c r="C49"/>
  <c r="K19" i="1"/>
  <c r="J19"/>
  <c r="H19"/>
  <c r="I19"/>
  <c r="E10" i="20"/>
  <c r="D10"/>
  <c r="C10"/>
  <c r="E21"/>
  <c r="C42" i="19"/>
  <c r="B79" i="5" s="1"/>
  <c r="B86" s="1"/>
  <c r="C48" i="19" l="1"/>
  <c r="B8" i="13" l="1"/>
  <c r="B35"/>
  <c r="D35"/>
  <c r="F35"/>
  <c r="H35"/>
  <c r="B36"/>
  <c r="D36"/>
  <c r="F36"/>
  <c r="H36"/>
  <c r="A32" i="1"/>
  <c r="A31"/>
  <c r="A30"/>
  <c r="E21" i="19"/>
  <c r="C21"/>
  <c r="B13"/>
  <c r="B12"/>
  <c r="B11"/>
  <c r="Y93" i="7" l="1"/>
  <c r="U93"/>
  <c r="Y92"/>
  <c r="X92"/>
  <c r="Y91"/>
  <c r="X91"/>
  <c r="Y90"/>
  <c r="X90"/>
  <c r="Y89"/>
  <c r="X89"/>
  <c r="Y88"/>
  <c r="X88"/>
  <c r="Y87"/>
  <c r="X87"/>
  <c r="Y86"/>
  <c r="X86"/>
  <c r="Y85"/>
  <c r="X85"/>
  <c r="U80" l="1"/>
  <c r="X79"/>
  <c r="X78"/>
  <c r="X77"/>
  <c r="X76"/>
  <c r="Y77" l="1"/>
  <c r="Y79"/>
  <c r="Y76"/>
  <c r="Y78"/>
  <c r="X75"/>
  <c r="Y74" s="1"/>
  <c r="X74"/>
  <c r="X73"/>
  <c r="X72"/>
  <c r="X71"/>
  <c r="X70"/>
  <c r="Y70" l="1"/>
  <c r="X69"/>
  <c r="X68" l="1"/>
  <c r="U63"/>
  <c r="X62"/>
  <c r="Y61" s="1"/>
  <c r="X61"/>
  <c r="Y60" s="1"/>
  <c r="X60"/>
  <c r="Y59" s="1"/>
  <c r="X59"/>
  <c r="S59" s="1"/>
  <c r="R59"/>
  <c r="Q59"/>
  <c r="X58"/>
  <c r="R58"/>
  <c r="B58"/>
  <c r="Y57" s="1"/>
  <c r="X57"/>
  <c r="R57"/>
  <c r="B57"/>
  <c r="Y56" s="1"/>
  <c r="X56"/>
  <c r="R56"/>
  <c r="B56"/>
  <c r="Y55" s="1"/>
  <c r="X55"/>
  <c r="R55"/>
  <c r="B55"/>
  <c r="Y54" s="1"/>
  <c r="X54"/>
  <c r="R54"/>
  <c r="K54"/>
  <c r="B54"/>
  <c r="Y53" s="1"/>
  <c r="X53"/>
  <c r="K53"/>
  <c r="E53" s="1"/>
  <c r="B53"/>
  <c r="Y52" s="1"/>
  <c r="X52"/>
  <c r="B52"/>
  <c r="Y51" s="1"/>
  <c r="X51"/>
  <c r="X50"/>
  <c r="Y49" s="1"/>
  <c r="X49"/>
  <c r="S49" s="1"/>
  <c r="R49"/>
  <c r="Q49"/>
  <c r="X48"/>
  <c r="R48"/>
  <c r="E56" l="1"/>
  <c r="M53"/>
  <c r="E54"/>
  <c r="M54"/>
  <c r="E57"/>
  <c r="C57" s="1"/>
  <c r="B59"/>
  <c r="D64"/>
  <c r="F64"/>
  <c r="H64"/>
  <c r="B48"/>
  <c r="R47"/>
  <c r="B47"/>
  <c r="R46"/>
  <c r="B46"/>
  <c r="R45"/>
  <c r="B45"/>
  <c r="U44"/>
  <c r="R44"/>
  <c r="M44" s="1"/>
  <c r="K44"/>
  <c r="B44"/>
  <c r="Y43"/>
  <c r="X43"/>
  <c r="B43"/>
  <c r="Y42"/>
  <c r="X42"/>
  <c r="B42"/>
  <c r="E42" s="1"/>
  <c r="Y41"/>
  <c r="X41"/>
  <c r="Y40"/>
  <c r="X40"/>
  <c r="Y39"/>
  <c r="X39"/>
  <c r="S39"/>
  <c r="R39"/>
  <c r="Q39"/>
  <c r="Y38"/>
  <c r="X38"/>
  <c r="R38"/>
  <c r="B38"/>
  <c r="Y37"/>
  <c r="X37"/>
  <c r="R37"/>
  <c r="B37"/>
  <c r="Y36"/>
  <c r="X36"/>
  <c r="R36"/>
  <c r="B36"/>
  <c r="Y35"/>
  <c r="X35"/>
  <c r="R35"/>
  <c r="B35"/>
  <c r="Y34"/>
  <c r="X34"/>
  <c r="R34"/>
  <c r="M34" s="1"/>
  <c r="K34"/>
  <c r="B34"/>
  <c r="Y33"/>
  <c r="X33"/>
  <c r="M33" s="1"/>
  <c r="M35" s="1"/>
  <c r="E35" s="1"/>
  <c r="K33"/>
  <c r="B33"/>
  <c r="Y32"/>
  <c r="X32"/>
  <c r="B32"/>
  <c r="B39" s="1"/>
  <c r="Y31"/>
  <c r="X31"/>
  <c r="Y30"/>
  <c r="X30"/>
  <c r="Y29"/>
  <c r="X29"/>
  <c r="S29" s="1"/>
  <c r="R29"/>
  <c r="Q29"/>
  <c r="Y28"/>
  <c r="X28"/>
  <c r="R28"/>
  <c r="B28"/>
  <c r="Y27"/>
  <c r="X27"/>
  <c r="R27"/>
  <c r="B27"/>
  <c r="Y26"/>
  <c r="X26"/>
  <c r="R26"/>
  <c r="E26" s="1"/>
  <c r="B26"/>
  <c r="Y25"/>
  <c r="X25"/>
  <c r="R25"/>
  <c r="C25"/>
  <c r="B25"/>
  <c r="Y24"/>
  <c r="X24"/>
  <c r="R24"/>
  <c r="K24"/>
  <c r="C24"/>
  <c r="B24"/>
  <c r="Y23"/>
  <c r="X23"/>
  <c r="K23"/>
  <c r="C23"/>
  <c r="B23"/>
  <c r="B22"/>
  <c r="B29" s="1"/>
  <c r="Y44" l="1"/>
  <c r="M24"/>
  <c r="C42"/>
  <c r="E23"/>
  <c r="E33"/>
  <c r="E34"/>
  <c r="N35"/>
  <c r="C37" s="1"/>
  <c r="E36"/>
  <c r="Y58"/>
  <c r="G65"/>
  <c r="M23"/>
  <c r="M25" s="1"/>
  <c r="E25" s="1"/>
  <c r="E24"/>
  <c r="E32"/>
  <c r="E37"/>
  <c r="E44"/>
  <c r="Z44"/>
  <c r="C28" s="1"/>
  <c r="E28" s="1"/>
  <c r="E46"/>
  <c r="M55"/>
  <c r="G10"/>
  <c r="H10" s="1"/>
  <c r="E10"/>
  <c r="C10"/>
  <c r="B10"/>
  <c r="G9"/>
  <c r="H9" s="1"/>
  <c r="E9"/>
  <c r="C9"/>
  <c r="B9"/>
  <c r="G8"/>
  <c r="H8" s="1"/>
  <c r="E8"/>
  <c r="C8"/>
  <c r="D8" s="1"/>
  <c r="B8"/>
  <c r="H7"/>
  <c r="G7"/>
  <c r="E7"/>
  <c r="C7"/>
  <c r="F7" s="1"/>
  <c r="B7"/>
  <c r="G5"/>
  <c r="E5"/>
  <c r="A41" s="1"/>
  <c r="C5"/>
  <c r="A31" s="1"/>
  <c r="C63" s="1"/>
  <c r="B5"/>
  <c r="A2"/>
  <c r="B142" i="14"/>
  <c r="C139"/>
  <c r="B139"/>
  <c r="A139"/>
  <c r="C138"/>
  <c r="B138"/>
  <c r="A138"/>
  <c r="C137"/>
  <c r="B137"/>
  <c r="A137"/>
  <c r="C136"/>
  <c r="B136"/>
  <c r="D136" s="1"/>
  <c r="A136"/>
  <c r="C135"/>
  <c r="B135"/>
  <c r="A135"/>
  <c r="C134"/>
  <c r="B134"/>
  <c r="D134" s="1"/>
  <c r="A134"/>
  <c r="C133"/>
  <c r="B133"/>
  <c r="A133"/>
  <c r="C131"/>
  <c r="B131"/>
  <c r="A131"/>
  <c r="C130"/>
  <c r="B130"/>
  <c r="A130"/>
  <c r="C129"/>
  <c r="B129"/>
  <c r="D129" s="1"/>
  <c r="A129"/>
  <c r="C128"/>
  <c r="B128"/>
  <c r="A128"/>
  <c r="I127"/>
  <c r="C127"/>
  <c r="B127"/>
  <c r="A127"/>
  <c r="A125"/>
  <c r="C124"/>
  <c r="B124"/>
  <c r="A124"/>
  <c r="C123"/>
  <c r="B123"/>
  <c r="E123" s="1"/>
  <c r="A123"/>
  <c r="C122"/>
  <c r="B122"/>
  <c r="A122"/>
  <c r="C121"/>
  <c r="B121"/>
  <c r="E121" s="1"/>
  <c r="A121"/>
  <c r="C120"/>
  <c r="B120"/>
  <c r="A120"/>
  <c r="C119"/>
  <c r="B119"/>
  <c r="E119" s="1"/>
  <c r="A119"/>
  <c r="C118"/>
  <c r="B118"/>
  <c r="A118"/>
  <c r="C117"/>
  <c r="B117"/>
  <c r="E117" s="1"/>
  <c r="A117"/>
  <c r="C115"/>
  <c r="B115"/>
  <c r="A115"/>
  <c r="H114"/>
  <c r="C114"/>
  <c r="B114"/>
  <c r="A114"/>
  <c r="C113"/>
  <c r="B113"/>
  <c r="E113" s="1"/>
  <c r="N119" s="1"/>
  <c r="A113"/>
  <c r="C112"/>
  <c r="B112"/>
  <c r="A112"/>
  <c r="C111"/>
  <c r="B111"/>
  <c r="A111"/>
  <c r="C109"/>
  <c r="B109"/>
  <c r="A109"/>
  <c r="C108"/>
  <c r="B108"/>
  <c r="D108" s="1"/>
  <c r="A108"/>
  <c r="C107"/>
  <c r="B107"/>
  <c r="A107"/>
  <c r="B106"/>
  <c r="A106"/>
  <c r="C105"/>
  <c r="B105"/>
  <c r="E105" s="1"/>
  <c r="A105"/>
  <c r="C12" i="7" l="1"/>
  <c r="C14" s="1"/>
  <c r="C15" s="1"/>
  <c r="C13"/>
  <c r="D107" i="14"/>
  <c r="E112"/>
  <c r="D118"/>
  <c r="D120"/>
  <c r="D122"/>
  <c r="D127"/>
  <c r="H119" s="1"/>
  <c r="E128"/>
  <c r="E130"/>
  <c r="E134"/>
  <c r="E135"/>
  <c r="E136"/>
  <c r="D137"/>
  <c r="D7" i="7"/>
  <c r="F8"/>
  <c r="B12"/>
  <c r="B14" s="1"/>
  <c r="B15" s="1"/>
  <c r="E12"/>
  <c r="F10"/>
  <c r="O117" i="14"/>
  <c r="N117"/>
  <c r="N115"/>
  <c r="O115"/>
  <c r="O113"/>
  <c r="N113"/>
  <c r="O110"/>
  <c r="N110"/>
  <c r="H118"/>
  <c r="I118"/>
  <c r="H111"/>
  <c r="I111"/>
  <c r="I113"/>
  <c r="H113"/>
  <c r="B13" i="7"/>
  <c r="C16"/>
  <c r="D13"/>
  <c r="D105" i="14"/>
  <c r="O123"/>
  <c r="N123"/>
  <c r="H105"/>
  <c r="I105"/>
  <c r="I106"/>
  <c r="H106"/>
  <c r="H124"/>
  <c r="I124"/>
  <c r="H122"/>
  <c r="I122"/>
  <c r="H120"/>
  <c r="I120"/>
  <c r="N108"/>
  <c r="O108"/>
  <c r="O105"/>
  <c r="N105"/>
  <c r="O106"/>
  <c r="N106"/>
  <c r="O107"/>
  <c r="N107"/>
  <c r="H115"/>
  <c r="I115"/>
  <c r="D12" i="7"/>
  <c r="F12"/>
  <c r="A51"/>
  <c r="Y50" s="1"/>
  <c r="G63"/>
  <c r="E63" s="1"/>
  <c r="C32"/>
  <c r="G66"/>
  <c r="E107" i="14"/>
  <c r="E108"/>
  <c r="D112"/>
  <c r="F112"/>
  <c r="D113"/>
  <c r="D117"/>
  <c r="H125" s="1"/>
  <c r="E118"/>
  <c r="D119"/>
  <c r="O119"/>
  <c r="E120"/>
  <c r="D121"/>
  <c r="H121" s="1"/>
  <c r="E122"/>
  <c r="D123"/>
  <c r="E127"/>
  <c r="D128"/>
  <c r="E129"/>
  <c r="D135"/>
  <c r="E137"/>
  <c r="F9" i="7"/>
  <c r="G13"/>
  <c r="N25"/>
  <c r="E55"/>
  <c r="N55"/>
  <c r="D9"/>
  <c r="D10"/>
  <c r="O104" i="14"/>
  <c r="I104"/>
  <c r="H104"/>
  <c r="C104"/>
  <c r="B104"/>
  <c r="D104" s="1"/>
  <c r="A104"/>
  <c r="O103"/>
  <c r="N103"/>
  <c r="I103"/>
  <c r="H103"/>
  <c r="C103"/>
  <c r="B103"/>
  <c r="A103"/>
  <c r="A102"/>
  <c r="B95"/>
  <c r="C92"/>
  <c r="B92"/>
  <c r="A92"/>
  <c r="C91"/>
  <c r="B91"/>
  <c r="A91"/>
  <c r="C90"/>
  <c r="B90"/>
  <c r="D90" s="1"/>
  <c r="A90"/>
  <c r="C89"/>
  <c r="B89"/>
  <c r="A89"/>
  <c r="C88"/>
  <c r="B88"/>
  <c r="D88" s="1"/>
  <c r="A88"/>
  <c r="C87"/>
  <c r="B87"/>
  <c r="A87"/>
  <c r="A86"/>
  <c r="C84"/>
  <c r="B84"/>
  <c r="A84"/>
  <c r="C83"/>
  <c r="B83"/>
  <c r="A83"/>
  <c r="C82"/>
  <c r="E82" s="1"/>
  <c r="B82"/>
  <c r="A82"/>
  <c r="C81"/>
  <c r="B81"/>
  <c r="D81" s="1"/>
  <c r="A81"/>
  <c r="I80"/>
  <c r="C80"/>
  <c r="B80"/>
  <c r="E80" s="1"/>
  <c r="A80"/>
  <c r="A78"/>
  <c r="C77"/>
  <c r="B77"/>
  <c r="A77"/>
  <c r="C76"/>
  <c r="B76"/>
  <c r="A76"/>
  <c r="C75"/>
  <c r="B75"/>
  <c r="D75" s="1"/>
  <c r="A75"/>
  <c r="C74"/>
  <c r="B74"/>
  <c r="A74"/>
  <c r="C73"/>
  <c r="B73"/>
  <c r="D73" s="1"/>
  <c r="A73"/>
  <c r="C72"/>
  <c r="B72"/>
  <c r="A72"/>
  <c r="C71"/>
  <c r="B71"/>
  <c r="D71" s="1"/>
  <c r="A71"/>
  <c r="C70"/>
  <c r="B70"/>
  <c r="A70"/>
  <c r="E69"/>
  <c r="C68"/>
  <c r="B68"/>
  <c r="A68"/>
  <c r="H67"/>
  <c r="C67"/>
  <c r="B67"/>
  <c r="A67"/>
  <c r="C66"/>
  <c r="B66"/>
  <c r="E66" s="1"/>
  <c r="A66"/>
  <c r="C65"/>
  <c r="B65"/>
  <c r="A65"/>
  <c r="C64"/>
  <c r="B64"/>
  <c r="A64"/>
  <c r="C62"/>
  <c r="B62"/>
  <c r="A62"/>
  <c r="C61"/>
  <c r="B61"/>
  <c r="D61" s="1"/>
  <c r="A61"/>
  <c r="C60"/>
  <c r="B60"/>
  <c r="A60"/>
  <c r="C59"/>
  <c r="B59"/>
  <c r="E59" s="1"/>
  <c r="A59"/>
  <c r="D15" i="7" l="1"/>
  <c r="E60" i="14"/>
  <c r="E65"/>
  <c r="E70"/>
  <c r="E72"/>
  <c r="E74"/>
  <c r="E76"/>
  <c r="D82"/>
  <c r="E87"/>
  <c r="E89"/>
  <c r="E103"/>
  <c r="N75"/>
  <c r="O75"/>
  <c r="O72"/>
  <c r="N72"/>
  <c r="O74"/>
  <c r="N74"/>
  <c r="O70"/>
  <c r="N70"/>
  <c r="O68"/>
  <c r="N68"/>
  <c r="O66"/>
  <c r="N66"/>
  <c r="O63"/>
  <c r="N63"/>
  <c r="H71"/>
  <c r="I71"/>
  <c r="O58"/>
  <c r="N58"/>
  <c r="O60"/>
  <c r="N60"/>
  <c r="N125"/>
  <c r="O125"/>
  <c r="H77"/>
  <c r="I77"/>
  <c r="H75"/>
  <c r="I75"/>
  <c r="H73"/>
  <c r="I73"/>
  <c r="N64"/>
  <c r="O64"/>
  <c r="I70"/>
  <c r="H70"/>
  <c r="O62"/>
  <c r="N62"/>
  <c r="H65"/>
  <c r="I65"/>
  <c r="H68"/>
  <c r="I68"/>
  <c r="I109"/>
  <c r="H109"/>
  <c r="G16" i="7"/>
  <c r="O109" i="14"/>
  <c r="N109"/>
  <c r="N111"/>
  <c r="O111"/>
  <c r="H116"/>
  <c r="I116"/>
  <c r="N116"/>
  <c r="O116"/>
  <c r="O121"/>
  <c r="N121"/>
  <c r="D59"/>
  <c r="D60"/>
  <c r="E61"/>
  <c r="D65"/>
  <c r="F65"/>
  <c r="D66"/>
  <c r="D70"/>
  <c r="E71"/>
  <c r="D72"/>
  <c r="E73"/>
  <c r="D74"/>
  <c r="E75"/>
  <c r="D76"/>
  <c r="D80"/>
  <c r="E81"/>
  <c r="D87"/>
  <c r="E88"/>
  <c r="D89"/>
  <c r="E90"/>
  <c r="D103"/>
  <c r="E104"/>
  <c r="H112"/>
  <c r="I112"/>
  <c r="I117"/>
  <c r="H117"/>
  <c r="N112"/>
  <c r="O112"/>
  <c r="O114"/>
  <c r="N114"/>
  <c r="I123"/>
  <c r="H123"/>
  <c r="N118"/>
  <c r="O118"/>
  <c r="N120"/>
  <c r="O120"/>
  <c r="H108"/>
  <c r="I108"/>
  <c r="B16" i="7"/>
  <c r="B17" s="1"/>
  <c r="C17"/>
  <c r="D17" s="1"/>
  <c r="D16"/>
  <c r="I58" i="14"/>
  <c r="H58"/>
  <c r="C58"/>
  <c r="I110" l="1"/>
  <c r="H110"/>
  <c r="I66"/>
  <c r="H66"/>
  <c r="H64"/>
  <c r="I64"/>
  <c r="I72"/>
  <c r="H72"/>
  <c r="N65"/>
  <c r="O65"/>
  <c r="O67"/>
  <c r="N67"/>
  <c r="N69"/>
  <c r="O69"/>
  <c r="I59"/>
  <c r="H59"/>
  <c r="N124"/>
  <c r="O124"/>
  <c r="N59"/>
  <c r="O59"/>
  <c r="N61"/>
  <c r="O61"/>
  <c r="H69"/>
  <c r="I69"/>
  <c r="I74"/>
  <c r="H74"/>
  <c r="I76"/>
  <c r="H76"/>
  <c r="I78"/>
  <c r="H78"/>
  <c r="N71"/>
  <c r="O71"/>
  <c r="N73"/>
  <c r="O73"/>
  <c r="I60"/>
  <c r="H60"/>
  <c r="B58"/>
  <c r="E58" s="1"/>
  <c r="A58"/>
  <c r="O57"/>
  <c r="I57"/>
  <c r="H57"/>
  <c r="C57"/>
  <c r="B57"/>
  <c r="D57" s="1"/>
  <c r="A57"/>
  <c r="O56"/>
  <c r="N56"/>
  <c r="I56"/>
  <c r="H56"/>
  <c r="C56"/>
  <c r="E56" s="1"/>
  <c r="B56"/>
  <c r="A56"/>
  <c r="A55"/>
  <c r="B47"/>
  <c r="C44"/>
  <c r="B44"/>
  <c r="A44"/>
  <c r="C43"/>
  <c r="B43"/>
  <c r="A43"/>
  <c r="C42"/>
  <c r="B42"/>
  <c r="E42" s="1"/>
  <c r="A42"/>
  <c r="C41"/>
  <c r="B41"/>
  <c r="A41"/>
  <c r="C40"/>
  <c r="B40"/>
  <c r="D40" s="1"/>
  <c r="A40"/>
  <c r="C39"/>
  <c r="B39"/>
  <c r="A39"/>
  <c r="A38"/>
  <c r="C36"/>
  <c r="B36"/>
  <c r="A36"/>
  <c r="C35"/>
  <c r="B35"/>
  <c r="A35"/>
  <c r="C34"/>
  <c r="B34"/>
  <c r="A34"/>
  <c r="C33"/>
  <c r="B33"/>
  <c r="D33" s="1"/>
  <c r="A33"/>
  <c r="E33" l="1"/>
  <c r="E34"/>
  <c r="E39"/>
  <c r="E40"/>
  <c r="E41"/>
  <c r="D56"/>
  <c r="E57"/>
  <c r="O78"/>
  <c r="N78"/>
  <c r="I62"/>
  <c r="H62"/>
  <c r="I63"/>
  <c r="H63"/>
  <c r="N77"/>
  <c r="O77"/>
  <c r="D39"/>
  <c r="D41"/>
  <c r="D42"/>
  <c r="D58"/>
  <c r="O76"/>
  <c r="N76"/>
  <c r="D34"/>
  <c r="O79"/>
  <c r="M71" s="1"/>
  <c r="M59"/>
  <c r="I32"/>
  <c r="C32"/>
  <c r="B32"/>
  <c r="D32" s="1"/>
  <c r="A32"/>
  <c r="A30"/>
  <c r="C29"/>
  <c r="B29"/>
  <c r="A29"/>
  <c r="C28"/>
  <c r="E28" s="1"/>
  <c r="B28"/>
  <c r="A28"/>
  <c r="C27"/>
  <c r="B27"/>
  <c r="D27" s="1"/>
  <c r="A27"/>
  <c r="C26"/>
  <c r="E26" s="1"/>
  <c r="O18" s="1"/>
  <c r="B26"/>
  <c r="A26"/>
  <c r="C25"/>
  <c r="B25"/>
  <c r="D25" s="1"/>
  <c r="A25"/>
  <c r="C24"/>
  <c r="B24"/>
  <c r="A24"/>
  <c r="I23"/>
  <c r="H23"/>
  <c r="C23"/>
  <c r="B23"/>
  <c r="D23" s="1"/>
  <c r="A23"/>
  <c r="I22"/>
  <c r="H22"/>
  <c r="C22"/>
  <c r="B22"/>
  <c r="A22"/>
  <c r="I20"/>
  <c r="H20"/>
  <c r="C20"/>
  <c r="B20"/>
  <c r="A20"/>
  <c r="H19"/>
  <c r="C19"/>
  <c r="B19"/>
  <c r="A19"/>
  <c r="I18"/>
  <c r="H18" s="1"/>
  <c r="C18"/>
  <c r="B18"/>
  <c r="E18" s="1"/>
  <c r="A18"/>
  <c r="I17"/>
  <c r="H17"/>
  <c r="C17"/>
  <c r="B17"/>
  <c r="A17"/>
  <c r="I16"/>
  <c r="H16"/>
  <c r="A16"/>
  <c r="O14"/>
  <c r="N14"/>
  <c r="C14"/>
  <c r="B14"/>
  <c r="A14"/>
  <c r="O13"/>
  <c r="N13"/>
  <c r="C13"/>
  <c r="B13"/>
  <c r="D13" s="1"/>
  <c r="A13"/>
  <c r="O12"/>
  <c r="N12"/>
  <c r="C12"/>
  <c r="B12"/>
  <c r="A12"/>
  <c r="O11"/>
  <c r="N11"/>
  <c r="C11"/>
  <c r="B11"/>
  <c r="D11" s="1"/>
  <c r="A11"/>
  <c r="O10"/>
  <c r="N10" s="1"/>
  <c r="C10"/>
  <c r="B10"/>
  <c r="D10" s="1"/>
  <c r="A10"/>
  <c r="E10" l="1"/>
  <c r="E11"/>
  <c r="D12"/>
  <c r="E13"/>
  <c r="E17"/>
  <c r="D22"/>
  <c r="E23"/>
  <c r="O21" s="1"/>
  <c r="D24"/>
  <c r="D26"/>
  <c r="D28"/>
  <c r="E32"/>
  <c r="M65"/>
  <c r="M73"/>
  <c r="H12"/>
  <c r="I12"/>
  <c r="O28"/>
  <c r="N28"/>
  <c r="N27"/>
  <c r="O27"/>
  <c r="I11"/>
  <c r="H11"/>
  <c r="N25"/>
  <c r="O25"/>
  <c r="H30"/>
  <c r="I30"/>
  <c r="N21"/>
  <c r="I28"/>
  <c r="H28"/>
  <c r="I26"/>
  <c r="H26"/>
  <c r="H21"/>
  <c r="I21"/>
  <c r="N16"/>
  <c r="O16"/>
  <c r="I13"/>
  <c r="H13"/>
  <c r="I10"/>
  <c r="H10"/>
  <c r="O24"/>
  <c r="N24"/>
  <c r="H29"/>
  <c r="I29"/>
  <c r="H27"/>
  <c r="I27"/>
  <c r="N18"/>
  <c r="H25"/>
  <c r="I25"/>
  <c r="O15"/>
  <c r="N15"/>
  <c r="H24"/>
  <c r="I24"/>
  <c r="E12"/>
  <c r="O26" s="1"/>
  <c r="D17"/>
  <c r="F17"/>
  <c r="D18"/>
  <c r="E22"/>
  <c r="E24"/>
  <c r="O20" s="1"/>
  <c r="E25"/>
  <c r="O19" s="1"/>
  <c r="E27"/>
  <c r="M69"/>
  <c r="M61"/>
  <c r="M76"/>
  <c r="M78"/>
  <c r="M64"/>
  <c r="M58"/>
  <c r="M63"/>
  <c r="M68"/>
  <c r="M72"/>
  <c r="M74"/>
  <c r="M56"/>
  <c r="M60"/>
  <c r="M66"/>
  <c r="M70"/>
  <c r="M62"/>
  <c r="M75"/>
  <c r="M57"/>
  <c r="H61"/>
  <c r="I61"/>
  <c r="M67"/>
  <c r="M77"/>
  <c r="D93"/>
  <c r="O9"/>
  <c r="I9"/>
  <c r="H9"/>
  <c r="C9"/>
  <c r="B9"/>
  <c r="A9"/>
  <c r="O8"/>
  <c r="N8"/>
  <c r="I8"/>
  <c r="H8"/>
  <c r="C8"/>
  <c r="B8"/>
  <c r="D8" s="1"/>
  <c r="A8"/>
  <c r="A7"/>
  <c r="C25" i="5"/>
  <c r="C24"/>
  <c r="O23"/>
  <c r="D45" i="19" s="1"/>
  <c r="K23" i="5"/>
  <c r="D44" i="19" s="1"/>
  <c r="C20" i="5"/>
  <c r="P19"/>
  <c r="L19"/>
  <c r="H19"/>
  <c r="D19"/>
  <c r="C19"/>
  <c r="C26" s="1"/>
  <c r="P18"/>
  <c r="L18"/>
  <c r="H18"/>
  <c r="G18"/>
  <c r="K18" s="1"/>
  <c r="K25" s="1"/>
  <c r="D18"/>
  <c r="P17"/>
  <c r="L17"/>
  <c r="H17"/>
  <c r="G17"/>
  <c r="K17" s="1"/>
  <c r="D17"/>
  <c r="C14"/>
  <c r="P13"/>
  <c r="L13"/>
  <c r="H13"/>
  <c r="D13"/>
  <c r="F19" s="1"/>
  <c r="F42" i="19" s="1"/>
  <c r="B42" s="1"/>
  <c r="C13" i="5"/>
  <c r="C23" s="1"/>
  <c r="D42" i="19" s="1"/>
  <c r="P12" i="5"/>
  <c r="L12"/>
  <c r="H12"/>
  <c r="J18" s="1"/>
  <c r="D12"/>
  <c r="C12"/>
  <c r="P11"/>
  <c r="L11"/>
  <c r="H11"/>
  <c r="D11"/>
  <c r="C7"/>
  <c r="F90" i="4"/>
  <c r="E90"/>
  <c r="D90"/>
  <c r="C90"/>
  <c r="F84"/>
  <c r="E84"/>
  <c r="D84"/>
  <c r="C84"/>
  <c r="F83"/>
  <c r="E83"/>
  <c r="D83"/>
  <c r="C83"/>
  <c r="F79"/>
  <c r="E79"/>
  <c r="D79"/>
  <c r="C79"/>
  <c r="C22" i="5" l="1"/>
  <c r="D49" i="19"/>
  <c r="F49"/>
  <c r="B49" s="1"/>
  <c r="O17" i="5"/>
  <c r="K24"/>
  <c r="D14"/>
  <c r="P20"/>
  <c r="Q19" s="1"/>
  <c r="P14"/>
  <c r="N17"/>
  <c r="D9" i="14"/>
  <c r="O18" i="5"/>
  <c r="O25" s="1"/>
  <c r="T18"/>
  <c r="Q18"/>
  <c r="R18"/>
  <c r="F51" i="19" s="1"/>
  <c r="B51" s="1"/>
  <c r="G13" i="5"/>
  <c r="D20"/>
  <c r="E19" s="1"/>
  <c r="L20"/>
  <c r="M17" s="1"/>
  <c r="Q13"/>
  <c r="Q12"/>
  <c r="P22" s="1"/>
  <c r="Q14"/>
  <c r="D15"/>
  <c r="E14"/>
  <c r="D45" i="14"/>
  <c r="I15"/>
  <c r="H15"/>
  <c r="I14"/>
  <c r="H14"/>
  <c r="M79"/>
  <c r="L56"/>
  <c r="N17"/>
  <c r="O17"/>
  <c r="N20"/>
  <c r="G12" i="5"/>
  <c r="D48" i="19" s="1"/>
  <c r="E13" i="5"/>
  <c r="F17"/>
  <c r="F18"/>
  <c r="N18"/>
  <c r="F50" i="19" s="1"/>
  <c r="B50" s="1"/>
  <c r="G19" i="5"/>
  <c r="K19" s="1"/>
  <c r="O19" s="1"/>
  <c r="N19" s="1"/>
  <c r="F44" i="19" s="1"/>
  <c r="B44" s="1"/>
  <c r="J19" i="5"/>
  <c r="F43" i="19" s="1"/>
  <c r="B43" s="1"/>
  <c r="H20" i="5"/>
  <c r="E8" i="14"/>
  <c r="E9"/>
  <c r="O29" s="1"/>
  <c r="L57"/>
  <c r="J61"/>
  <c r="H79"/>
  <c r="N19"/>
  <c r="N22"/>
  <c r="O22"/>
  <c r="O23"/>
  <c r="N23"/>
  <c r="N26"/>
  <c r="H14" i="5"/>
  <c r="L14"/>
  <c r="M12" s="1"/>
  <c r="J17"/>
  <c r="R19"/>
  <c r="P23"/>
  <c r="K12" l="1"/>
  <c r="D50" i="19" s="1"/>
  <c r="S19" i="5"/>
  <c r="F45" i="19"/>
  <c r="B45" s="1"/>
  <c r="F48"/>
  <c r="B48" s="1"/>
  <c r="D87" i="5"/>
  <c r="C87" s="1"/>
  <c r="P21"/>
  <c r="E18"/>
  <c r="Q17"/>
  <c r="Q24" s="1"/>
  <c r="E17"/>
  <c r="D21"/>
  <c r="E20"/>
  <c r="Q20"/>
  <c r="M19"/>
  <c r="R17"/>
  <c r="S17" s="1"/>
  <c r="Q25"/>
  <c r="O24"/>
  <c r="M24" s="1"/>
  <c r="I17"/>
  <c r="J20"/>
  <c r="G14"/>
  <c r="I14"/>
  <c r="L58" i="14"/>
  <c r="N30"/>
  <c r="O30"/>
  <c r="E12" i="5"/>
  <c r="G22"/>
  <c r="D22" s="1"/>
  <c r="M13"/>
  <c r="L23" s="1"/>
  <c r="K14"/>
  <c r="O14" s="1"/>
  <c r="M14"/>
  <c r="O12"/>
  <c r="D51" i="19" s="1"/>
  <c r="H80" i="14"/>
  <c r="J67"/>
  <c r="J65"/>
  <c r="J73"/>
  <c r="J77"/>
  <c r="J58"/>
  <c r="J70"/>
  <c r="J71"/>
  <c r="J75"/>
  <c r="J78"/>
  <c r="J74"/>
  <c r="J59"/>
  <c r="J66"/>
  <c r="J57"/>
  <c r="J69"/>
  <c r="J64"/>
  <c r="J56"/>
  <c r="J60"/>
  <c r="J76"/>
  <c r="J72"/>
  <c r="J63"/>
  <c r="J62"/>
  <c r="N29"/>
  <c r="G20" i="5"/>
  <c r="I19"/>
  <c r="H21"/>
  <c r="M18"/>
  <c r="M25" s="1"/>
  <c r="D88"/>
  <c r="C88" s="1"/>
  <c r="I13"/>
  <c r="H23" s="1"/>
  <c r="G23" s="1"/>
  <c r="I12"/>
  <c r="O31" i="14"/>
  <c r="I18" i="5"/>
  <c r="I25" s="1"/>
  <c r="G25" s="1"/>
  <c r="P27"/>
  <c r="L21"/>
  <c r="F73" i="4"/>
  <c r="F78" s="1"/>
  <c r="E73"/>
  <c r="D73"/>
  <c r="C73"/>
  <c r="O70"/>
  <c r="M70"/>
  <c r="F72"/>
  <c r="F74" s="1"/>
  <c r="E72"/>
  <c r="E74" s="1"/>
  <c r="D72"/>
  <c r="D74" s="1"/>
  <c r="C72"/>
  <c r="C74" s="1"/>
  <c r="F68"/>
  <c r="E68"/>
  <c r="D68"/>
  <c r="C68"/>
  <c r="S64"/>
  <c r="P64"/>
  <c r="N64"/>
  <c r="M64"/>
  <c r="S63"/>
  <c r="P63"/>
  <c r="N63"/>
  <c r="M63"/>
  <c r="S62"/>
  <c r="P62"/>
  <c r="N62"/>
  <c r="M62"/>
  <c r="S61"/>
  <c r="P61"/>
  <c r="N61"/>
  <c r="M61"/>
  <c r="B113"/>
  <c r="B112"/>
  <c r="D23" i="5" l="1"/>
  <c r="D43" i="19"/>
  <c r="R20" i="5"/>
  <c r="D86"/>
  <c r="C86" s="1"/>
  <c r="E25"/>
  <c r="M20"/>
  <c r="I24"/>
  <c r="G24" s="1"/>
  <c r="E24" s="1"/>
  <c r="I20"/>
  <c r="F66" i="4"/>
  <c r="E66" s="1"/>
  <c r="M14" i="14"/>
  <c r="M11"/>
  <c r="M10"/>
  <c r="M13"/>
  <c r="M12"/>
  <c r="M21"/>
  <c r="M18"/>
  <c r="M8"/>
  <c r="M9"/>
  <c r="M15"/>
  <c r="M24"/>
  <c r="M19"/>
  <c r="M26"/>
  <c r="M16"/>
  <c r="M25"/>
  <c r="M20"/>
  <c r="M28"/>
  <c r="M27"/>
  <c r="F20" i="5"/>
  <c r="K20"/>
  <c r="O20" s="1"/>
  <c r="N20" s="1"/>
  <c r="O22"/>
  <c r="L22" s="1"/>
  <c r="K22" s="1"/>
  <c r="H22" s="1"/>
  <c r="H27" s="1"/>
  <c r="M22" i="14"/>
  <c r="K56"/>
  <c r="K57" s="1"/>
  <c r="K58"/>
  <c r="K59" s="1"/>
  <c r="L59"/>
  <c r="L60" s="1"/>
  <c r="E78" i="4"/>
  <c r="D78" s="1"/>
  <c r="C78" s="1"/>
  <c r="M29" i="14"/>
  <c r="M17"/>
  <c r="M23"/>
  <c r="M30"/>
  <c r="B111" i="4"/>
  <c r="B110"/>
  <c r="T57"/>
  <c r="S57"/>
  <c r="P57"/>
  <c r="M57"/>
  <c r="T56"/>
  <c r="S56"/>
  <c r="P56"/>
  <c r="M56"/>
  <c r="T55"/>
  <c r="S55"/>
  <c r="P55"/>
  <c r="M55"/>
  <c r="T54"/>
  <c r="S54"/>
  <c r="P54"/>
  <c r="M54"/>
  <c r="N50"/>
  <c r="O50" s="1"/>
  <c r="M50"/>
  <c r="N49"/>
  <c r="M49"/>
  <c r="N48"/>
  <c r="O48" s="1"/>
  <c r="M48"/>
  <c r="N47"/>
  <c r="M47"/>
  <c r="I59"/>
  <c r="H59"/>
  <c r="L74" s="1"/>
  <c r="K44"/>
  <c r="J44"/>
  <c r="I58"/>
  <c r="H58"/>
  <c r="L73" s="1"/>
  <c r="K43"/>
  <c r="J43"/>
  <c r="I57"/>
  <c r="H57"/>
  <c r="L72" s="1"/>
  <c r="N42"/>
  <c r="M42"/>
  <c r="K42"/>
  <c r="J42"/>
  <c r="I56"/>
  <c r="H56"/>
  <c r="L71" s="1"/>
  <c r="N41"/>
  <c r="M41"/>
  <c r="K41"/>
  <c r="J41"/>
  <c r="N40"/>
  <c r="M40"/>
  <c r="O39"/>
  <c r="N39"/>
  <c r="M39"/>
  <c r="H37"/>
  <c r="G37"/>
  <c r="H36"/>
  <c r="G36"/>
  <c r="P35"/>
  <c r="H35"/>
  <c r="G35"/>
  <c r="A35"/>
  <c r="P34"/>
  <c r="K34"/>
  <c r="J34"/>
  <c r="H34"/>
  <c r="G34"/>
  <c r="A34"/>
  <c r="P33"/>
  <c r="K33"/>
  <c r="J33"/>
  <c r="A33"/>
  <c r="P32"/>
  <c r="K32"/>
  <c r="J32"/>
  <c r="A32"/>
  <c r="K31"/>
  <c r="J31"/>
  <c r="Q29"/>
  <c r="P29"/>
  <c r="Q28"/>
  <c r="P28"/>
  <c r="Q27"/>
  <c r="P27"/>
  <c r="D27"/>
  <c r="Q26"/>
  <c r="P26"/>
  <c r="D26"/>
  <c r="D25"/>
  <c r="D24"/>
  <c r="Q23"/>
  <c r="P23"/>
  <c r="Q22"/>
  <c r="P22"/>
  <c r="G22"/>
  <c r="Q21"/>
  <c r="P21"/>
  <c r="G21"/>
  <c r="Q20"/>
  <c r="P20"/>
  <c r="K20"/>
  <c r="J20"/>
  <c r="G20"/>
  <c r="K19"/>
  <c r="J19"/>
  <c r="G19"/>
  <c r="K18"/>
  <c r="J18"/>
  <c r="Q17"/>
  <c r="P17"/>
  <c r="M17"/>
  <c r="K17"/>
  <c r="J17"/>
  <c r="Q16"/>
  <c r="P16"/>
  <c r="M16"/>
  <c r="Q15"/>
  <c r="P15"/>
  <c r="M15"/>
  <c r="Q14"/>
  <c r="P14"/>
  <c r="M14"/>
  <c r="Q11"/>
  <c r="P11"/>
  <c r="Q10"/>
  <c r="P10"/>
  <c r="Q9"/>
  <c r="P9"/>
  <c r="Q8"/>
  <c r="P8"/>
  <c r="Q5"/>
  <c r="P5"/>
  <c r="Q4"/>
  <c r="P4"/>
  <c r="Q3"/>
  <c r="P3"/>
  <c r="Q2"/>
  <c r="P2"/>
  <c r="E96" i="22"/>
  <c r="D96"/>
  <c r="C96"/>
  <c r="B96"/>
  <c r="E95"/>
  <c r="D95"/>
  <c r="C95"/>
  <c r="B95"/>
  <c r="B97" s="1"/>
  <c r="E91"/>
  <c r="D91"/>
  <c r="C91"/>
  <c r="B91"/>
  <c r="E90"/>
  <c r="D90"/>
  <c r="C90"/>
  <c r="B90"/>
  <c r="B92" s="1"/>
  <c r="D66" i="4" l="1"/>
  <c r="C66" s="1"/>
  <c r="E22" i="19"/>
  <c r="O71" i="4"/>
  <c r="E23" i="19"/>
  <c r="O72" i="4"/>
  <c r="E24" i="19"/>
  <c r="O73" i="4"/>
  <c r="E25" i="19"/>
  <c r="O74" i="4"/>
  <c r="M31" i="14"/>
  <c r="L8"/>
  <c r="N14" i="4"/>
  <c r="N16"/>
  <c r="O49"/>
  <c r="K60" i="14"/>
  <c r="L61"/>
  <c r="N15" i="4"/>
  <c r="N17"/>
  <c r="O40"/>
  <c r="O41"/>
  <c r="O42"/>
  <c r="O47"/>
  <c r="E86" i="22"/>
  <c r="D86"/>
  <c r="C86"/>
  <c r="B86"/>
  <c r="B87" s="1"/>
  <c r="E85"/>
  <c r="D85"/>
  <c r="C85"/>
  <c r="C87" s="1"/>
  <c r="B85"/>
  <c r="E81"/>
  <c r="D81"/>
  <c r="C81"/>
  <c r="B81"/>
  <c r="E80"/>
  <c r="D80"/>
  <c r="C80"/>
  <c r="C82" s="1"/>
  <c r="B80"/>
  <c r="B82" s="1"/>
  <c r="D87" l="1"/>
  <c r="K61" i="14"/>
  <c r="L62"/>
  <c r="L9"/>
  <c r="L10" s="1"/>
  <c r="L11" l="1"/>
  <c r="K62"/>
  <c r="L63"/>
  <c r="E76" i="22"/>
  <c r="D76"/>
  <c r="C76"/>
  <c r="B76"/>
  <c r="I75"/>
  <c r="H75"/>
  <c r="G75"/>
  <c r="F75"/>
  <c r="E75"/>
  <c r="D75"/>
  <c r="D77" s="1"/>
  <c r="C75"/>
  <c r="C77" s="1"/>
  <c r="B75"/>
  <c r="B77" s="1"/>
  <c r="H85" l="1"/>
  <c r="G85"/>
  <c r="F85" s="1"/>
  <c r="I85"/>
  <c r="K63" i="14"/>
  <c r="L64"/>
  <c r="L12"/>
  <c r="L13" s="1"/>
  <c r="L14" s="1"/>
  <c r="E71" i="22"/>
  <c r="D71"/>
  <c r="C71"/>
  <c r="B71"/>
  <c r="I70"/>
  <c r="H70"/>
  <c r="G70"/>
  <c r="F70"/>
  <c r="E70"/>
  <c r="E72" s="1"/>
  <c r="D70"/>
  <c r="D72" s="1"/>
  <c r="C70"/>
  <c r="C72" s="1"/>
  <c r="B70"/>
  <c r="B72" s="1"/>
  <c r="E68"/>
  <c r="D68"/>
  <c r="C68"/>
  <c r="B68"/>
  <c r="E64"/>
  <c r="D64"/>
  <c r="D65" s="1"/>
  <c r="C64"/>
  <c r="B64"/>
  <c r="B65" s="1"/>
  <c r="A64"/>
  <c r="E63"/>
  <c r="E65" s="1"/>
  <c r="D63"/>
  <c r="C63"/>
  <c r="C65" s="1"/>
  <c r="B63"/>
  <c r="A91" l="1"/>
  <c r="A86"/>
  <c r="L15" i="14"/>
  <c r="K64"/>
  <c r="L65"/>
  <c r="I59" i="22"/>
  <c r="H59"/>
  <c r="G59"/>
  <c r="F59"/>
  <c r="E59"/>
  <c r="D59"/>
  <c r="C59"/>
  <c r="B59"/>
  <c r="E58"/>
  <c r="E60" s="1"/>
  <c r="D58"/>
  <c r="D60" s="1"/>
  <c r="C58"/>
  <c r="C60" s="1"/>
  <c r="B58"/>
  <c r="B60" s="1"/>
  <c r="I54"/>
  <c r="H54"/>
  <c r="G54"/>
  <c r="F54"/>
  <c r="E54"/>
  <c r="D54"/>
  <c r="C54"/>
  <c r="B54"/>
  <c r="A54"/>
  <c r="K65" i="14" l="1"/>
  <c r="L66"/>
  <c r="L16"/>
  <c r="E53" i="22"/>
  <c r="E55" s="1"/>
  <c r="D53"/>
  <c r="D55" s="1"/>
  <c r="C53"/>
  <c r="C55" s="1"/>
  <c r="B53"/>
  <c r="B55" s="1"/>
  <c r="E49"/>
  <c r="D49"/>
  <c r="C49"/>
  <c r="B49"/>
  <c r="E48"/>
  <c r="E50" s="1"/>
  <c r="D48"/>
  <c r="D50" s="1"/>
  <c r="C48"/>
  <c r="C50" s="1"/>
  <c r="B48"/>
  <c r="B50" s="1"/>
  <c r="I44"/>
  <c r="H44"/>
  <c r="G44"/>
  <c r="F44"/>
  <c r="E44"/>
  <c r="D44"/>
  <c r="C44"/>
  <c r="B44"/>
  <c r="I43"/>
  <c r="I45" s="1"/>
  <c r="H43"/>
  <c r="H45" s="1"/>
  <c r="G43"/>
  <c r="G45" s="1"/>
  <c r="F43"/>
  <c r="F45" s="1"/>
  <c r="E43"/>
  <c r="E45" s="1"/>
  <c r="D43"/>
  <c r="D45" s="1"/>
  <c r="C43"/>
  <c r="C45" s="1"/>
  <c r="B43"/>
  <c r="B45" s="1"/>
  <c r="E39"/>
  <c r="E40" s="1"/>
  <c r="I38"/>
  <c r="H38" s="1"/>
  <c r="G38"/>
  <c r="F38"/>
  <c r="E38"/>
  <c r="D38"/>
  <c r="C38"/>
  <c r="B38"/>
  <c r="I37"/>
  <c r="I48" s="1"/>
  <c r="H37"/>
  <c r="G37"/>
  <c r="G48" s="1"/>
  <c r="F37"/>
  <c r="F39" s="1"/>
  <c r="E37"/>
  <c r="D37"/>
  <c r="D39" s="1"/>
  <c r="C37"/>
  <c r="C39" s="1"/>
  <c r="C40" s="1"/>
  <c r="B37"/>
  <c r="B39" s="1"/>
  <c r="I32"/>
  <c r="H32"/>
  <c r="G32"/>
  <c r="F32"/>
  <c r="E32"/>
  <c r="D32"/>
  <c r="C32"/>
  <c r="B32"/>
  <c r="I31"/>
  <c r="H31"/>
  <c r="G31"/>
  <c r="G33" s="1"/>
  <c r="F31"/>
  <c r="F33" s="1"/>
  <c r="E31"/>
  <c r="E33" s="1"/>
  <c r="D31"/>
  <c r="D33" s="1"/>
  <c r="D34" s="1"/>
  <c r="C31"/>
  <c r="C33" s="1"/>
  <c r="B31"/>
  <c r="B33" s="1"/>
  <c r="E29"/>
  <c r="D29"/>
  <c r="C29"/>
  <c r="B29"/>
  <c r="I24"/>
  <c r="I96" s="1"/>
  <c r="H24"/>
  <c r="H96" s="1"/>
  <c r="C34" l="1"/>
  <c r="B34"/>
  <c r="I33" s="1"/>
  <c r="H33" s="1"/>
  <c r="B40"/>
  <c r="I39" s="1"/>
  <c r="H39" s="1"/>
  <c r="G39" s="1"/>
  <c r="D40"/>
  <c r="F48"/>
  <c r="G53"/>
  <c r="H48"/>
  <c r="H53" s="1"/>
  <c r="I53"/>
  <c r="L17" i="14"/>
  <c r="K66"/>
  <c r="L67"/>
  <c r="G24" i="22"/>
  <c r="G96" s="1"/>
  <c r="F24"/>
  <c r="E24"/>
  <c r="D24"/>
  <c r="C24"/>
  <c r="B24"/>
  <c r="E23"/>
  <c r="E25" s="1"/>
  <c r="D23"/>
  <c r="D25" s="1"/>
  <c r="C23"/>
  <c r="B23"/>
  <c r="B25" s="1"/>
  <c r="A23"/>
  <c r="I19"/>
  <c r="I64" s="1"/>
  <c r="H19"/>
  <c r="H64" s="1"/>
  <c r="G19"/>
  <c r="F19"/>
  <c r="E19"/>
  <c r="D19"/>
  <c r="C19"/>
  <c r="B19"/>
  <c r="I18"/>
  <c r="I20" s="1"/>
  <c r="H18"/>
  <c r="H20" s="1"/>
  <c r="G18"/>
  <c r="G20" s="1"/>
  <c r="F18"/>
  <c r="F20" s="1"/>
  <c r="E18"/>
  <c r="E20" s="1"/>
  <c r="D18"/>
  <c r="D20" s="1"/>
  <c r="C18"/>
  <c r="C20" s="1"/>
  <c r="B18"/>
  <c r="B20" s="1"/>
  <c r="C25" l="1"/>
  <c r="I91"/>
  <c r="I86"/>
  <c r="I87" s="1"/>
  <c r="H58"/>
  <c r="H55"/>
  <c r="I23"/>
  <c r="G64"/>
  <c r="H91"/>
  <c r="H86"/>
  <c r="K67" i="14"/>
  <c r="L68"/>
  <c r="L18"/>
  <c r="I55" i="22"/>
  <c r="I58"/>
  <c r="F53"/>
  <c r="F55" s="1"/>
  <c r="G55"/>
  <c r="G58"/>
  <c r="F96"/>
  <c r="E14"/>
  <c r="D14"/>
  <c r="C14"/>
  <c r="B14"/>
  <c r="A14"/>
  <c r="I13"/>
  <c r="H13"/>
  <c r="G13"/>
  <c r="F13"/>
  <c r="E13"/>
  <c r="D13"/>
  <c r="C13"/>
  <c r="B13"/>
  <c r="F58" l="1"/>
  <c r="F60" s="1"/>
  <c r="F61" s="1"/>
  <c r="G63"/>
  <c r="G60"/>
  <c r="G61" s="1"/>
  <c r="H23"/>
  <c r="G23" s="1"/>
  <c r="I25"/>
  <c r="H63"/>
  <c r="H60"/>
  <c r="H61" s="1"/>
  <c r="I63"/>
  <c r="I71" s="1"/>
  <c r="I60"/>
  <c r="I61" s="1"/>
  <c r="L19" i="14"/>
  <c r="L69"/>
  <c r="F64" i="22"/>
  <c r="F86" s="1"/>
  <c r="F87" s="1"/>
  <c r="G91"/>
  <c r="G86"/>
  <c r="H87"/>
  <c r="E12"/>
  <c r="E15" s="1"/>
  <c r="D12"/>
  <c r="D15" s="1"/>
  <c r="C12"/>
  <c r="C15" s="1"/>
  <c r="B12"/>
  <c r="B15" s="1"/>
  <c r="A12"/>
  <c r="I8"/>
  <c r="I14" s="1"/>
  <c r="H14" s="1"/>
  <c r="H8"/>
  <c r="G8"/>
  <c r="F8"/>
  <c r="E8"/>
  <c r="D8"/>
  <c r="C8"/>
  <c r="B8"/>
  <c r="I7"/>
  <c r="H7" s="1"/>
  <c r="H12" s="1"/>
  <c r="G7"/>
  <c r="G12" s="1"/>
  <c r="F7"/>
  <c r="F9" s="1"/>
  <c r="E7"/>
  <c r="D7"/>
  <c r="D9" s="1"/>
  <c r="C7"/>
  <c r="B7"/>
  <c r="B9" s="1"/>
  <c r="I5"/>
  <c r="H5"/>
  <c r="G5"/>
  <c r="F5"/>
  <c r="E5"/>
  <c r="D5"/>
  <c r="C5"/>
  <c r="B5"/>
  <c r="C69" i="15"/>
  <c r="K66"/>
  <c r="H66"/>
  <c r="B66"/>
  <c r="K65"/>
  <c r="H65"/>
  <c r="I65" s="1"/>
  <c r="E65"/>
  <c r="F65" s="1"/>
  <c r="B65"/>
  <c r="C65" s="1"/>
  <c r="K64"/>
  <c r="H64"/>
  <c r="C9" i="22" l="1"/>
  <c r="E9"/>
  <c r="G14"/>
  <c r="F14" s="1"/>
  <c r="G87"/>
  <c r="F91"/>
  <c r="H25"/>
  <c r="F12"/>
  <c r="G49"/>
  <c r="G15"/>
  <c r="H49"/>
  <c r="H15"/>
  <c r="G68"/>
  <c r="G29"/>
  <c r="I68"/>
  <c r="I29"/>
  <c r="L70" i="14"/>
  <c r="L20"/>
  <c r="H9" i="22"/>
  <c r="F68"/>
  <c r="F29"/>
  <c r="H68"/>
  <c r="H29"/>
  <c r="I76"/>
  <c r="I72"/>
  <c r="I73" s="1"/>
  <c r="H65"/>
  <c r="H71"/>
  <c r="F23"/>
  <c r="G25"/>
  <c r="I64" i="15"/>
  <c r="J64" s="1"/>
  <c r="D65"/>
  <c r="G65"/>
  <c r="J65"/>
  <c r="G9" i="22"/>
  <c r="I9"/>
  <c r="I12"/>
  <c r="F63"/>
  <c r="F65" s="1"/>
  <c r="F66" s="1"/>
  <c r="I65" s="1"/>
  <c r="I66" s="1"/>
  <c r="E64" i="15"/>
  <c r="B64"/>
  <c r="K63"/>
  <c r="I63"/>
  <c r="H63"/>
  <c r="F63"/>
  <c r="E63"/>
  <c r="C63"/>
  <c r="B63"/>
  <c r="K62"/>
  <c r="H62"/>
  <c r="E62"/>
  <c r="B62"/>
  <c r="K61"/>
  <c r="H61"/>
  <c r="F25" i="22" l="1"/>
  <c r="G71"/>
  <c r="H76"/>
  <c r="H72"/>
  <c r="H73" s="1"/>
  <c r="L21" i="14"/>
  <c r="L71"/>
  <c r="F49" i="22"/>
  <c r="F15"/>
  <c r="I49"/>
  <c r="I15"/>
  <c r="G65"/>
  <c r="G66" s="1"/>
  <c r="H66"/>
  <c r="I81"/>
  <c r="I77"/>
  <c r="I78" s="1"/>
  <c r="C62" i="15"/>
  <c r="D62" s="1"/>
  <c r="F62"/>
  <c r="G62" s="1"/>
  <c r="I62"/>
  <c r="J62" s="1"/>
  <c r="D63"/>
  <c r="G63"/>
  <c r="J63"/>
  <c r="C64"/>
  <c r="D64" s="1"/>
  <c r="F64"/>
  <c r="G64" s="1"/>
  <c r="E61"/>
  <c r="B61"/>
  <c r="K60"/>
  <c r="H60"/>
  <c r="E60"/>
  <c r="B60"/>
  <c r="K59"/>
  <c r="I59"/>
  <c r="H59"/>
  <c r="F59"/>
  <c r="E59"/>
  <c r="C59"/>
  <c r="B59"/>
  <c r="K58"/>
  <c r="H58"/>
  <c r="E58"/>
  <c r="B58"/>
  <c r="K57"/>
  <c r="I57" s="1"/>
  <c r="H57"/>
  <c r="F57" s="1"/>
  <c r="E57"/>
  <c r="C57"/>
  <c r="B57"/>
  <c r="K56"/>
  <c r="H56"/>
  <c r="E56"/>
  <c r="B56"/>
  <c r="K45"/>
  <c r="I45" s="1"/>
  <c r="H45"/>
  <c r="F45" s="1"/>
  <c r="E45"/>
  <c r="C45" s="1"/>
  <c r="B45"/>
  <c r="A45"/>
  <c r="K44"/>
  <c r="I44"/>
  <c r="H44"/>
  <c r="E44"/>
  <c r="B44"/>
  <c r="A44"/>
  <c r="K43"/>
  <c r="H43"/>
  <c r="E43"/>
  <c r="B43"/>
  <c r="A43"/>
  <c r="K42"/>
  <c r="I42" s="1"/>
  <c r="H42"/>
  <c r="F42" s="1"/>
  <c r="E42"/>
  <c r="B42"/>
  <c r="A42"/>
  <c r="K41"/>
  <c r="I41"/>
  <c r="J41" s="1"/>
  <c r="H41"/>
  <c r="E41"/>
  <c r="F41" s="1"/>
  <c r="G41" s="1"/>
  <c r="B41"/>
  <c r="A41"/>
  <c r="K40"/>
  <c r="I40"/>
  <c r="J40" s="1"/>
  <c r="H40"/>
  <c r="E40"/>
  <c r="F40" s="1"/>
  <c r="G40" s="1"/>
  <c r="B40"/>
  <c r="A40"/>
  <c r="A39"/>
  <c r="K37"/>
  <c r="H37"/>
  <c r="E37"/>
  <c r="F37" s="1"/>
  <c r="B37"/>
  <c r="A37"/>
  <c r="K36"/>
  <c r="H36"/>
  <c r="I36" s="1"/>
  <c r="E36"/>
  <c r="B36"/>
  <c r="A36"/>
  <c r="K35"/>
  <c r="I35" s="1"/>
  <c r="H35"/>
  <c r="F35" s="1"/>
  <c r="E35"/>
  <c r="B35"/>
  <c r="A35"/>
  <c r="K34"/>
  <c r="H34"/>
  <c r="I34" s="1"/>
  <c r="E34"/>
  <c r="B34"/>
  <c r="A34"/>
  <c r="K33"/>
  <c r="I33" s="1"/>
  <c r="H33"/>
  <c r="E33"/>
  <c r="C33"/>
  <c r="D33" s="1"/>
  <c r="B33"/>
  <c r="A33"/>
  <c r="A31"/>
  <c r="K30"/>
  <c r="I30" s="1"/>
  <c r="H30"/>
  <c r="E30"/>
  <c r="B30"/>
  <c r="A30"/>
  <c r="K29"/>
  <c r="I29"/>
  <c r="H29"/>
  <c r="F29"/>
  <c r="E29"/>
  <c r="B29"/>
  <c r="A29"/>
  <c r="K28"/>
  <c r="I28" s="1"/>
  <c r="H28"/>
  <c r="E28"/>
  <c r="B28"/>
  <c r="A28"/>
  <c r="K27"/>
  <c r="I27"/>
  <c r="H27"/>
  <c r="F27"/>
  <c r="E27"/>
  <c r="B27"/>
  <c r="A27"/>
  <c r="K26"/>
  <c r="I26" s="1"/>
  <c r="H26"/>
  <c r="E26"/>
  <c r="B26"/>
  <c r="A26"/>
  <c r="K25"/>
  <c r="I25"/>
  <c r="H25"/>
  <c r="F25"/>
  <c r="E25"/>
  <c r="B25"/>
  <c r="A25"/>
  <c r="K24"/>
  <c r="I24" s="1"/>
  <c r="H24"/>
  <c r="E24"/>
  <c r="B24"/>
  <c r="A24"/>
  <c r="K23"/>
  <c r="I23"/>
  <c r="H23"/>
  <c r="F23"/>
  <c r="E23"/>
  <c r="B23"/>
  <c r="A23"/>
  <c r="K21"/>
  <c r="H21"/>
  <c r="E21"/>
  <c r="C21" s="1"/>
  <c r="B21"/>
  <c r="A21"/>
  <c r="K20"/>
  <c r="H20"/>
  <c r="E20"/>
  <c r="C20"/>
  <c r="B20"/>
  <c r="A20"/>
  <c r="K19"/>
  <c r="I19"/>
  <c r="H19"/>
  <c r="E19"/>
  <c r="F19" s="1"/>
  <c r="G19" s="1"/>
  <c r="B19"/>
  <c r="A19"/>
  <c r="K18"/>
  <c r="I18"/>
  <c r="J18" s="1"/>
  <c r="H18"/>
  <c r="E18"/>
  <c r="F18" s="1"/>
  <c r="G18" s="1"/>
  <c r="B18"/>
  <c r="A18"/>
  <c r="A17"/>
  <c r="A15"/>
  <c r="K14"/>
  <c r="I14"/>
  <c r="H14"/>
  <c r="F14"/>
  <c r="E14"/>
  <c r="C14"/>
  <c r="B14"/>
  <c r="A14"/>
  <c r="K13"/>
  <c r="I13"/>
  <c r="H13"/>
  <c r="F13"/>
  <c r="E13"/>
  <c r="B13"/>
  <c r="A13"/>
  <c r="K12"/>
  <c r="I20" l="1"/>
  <c r="F24"/>
  <c r="F26"/>
  <c r="F28"/>
  <c r="F30"/>
  <c r="F33"/>
  <c r="G33" s="1"/>
  <c r="F34"/>
  <c r="G34" s="1"/>
  <c r="F36"/>
  <c r="I37"/>
  <c r="L72" i="14"/>
  <c r="L22"/>
  <c r="F71" i="22"/>
  <c r="F72" s="1"/>
  <c r="F73" s="1"/>
  <c r="G76"/>
  <c r="G72"/>
  <c r="G73" s="1"/>
  <c r="G13" i="15"/>
  <c r="J13"/>
  <c r="D14"/>
  <c r="G14"/>
  <c r="J14"/>
  <c r="J19"/>
  <c r="D20"/>
  <c r="G23"/>
  <c r="J23"/>
  <c r="G25"/>
  <c r="J25"/>
  <c r="G27"/>
  <c r="J27"/>
  <c r="G29"/>
  <c r="J29"/>
  <c r="J33"/>
  <c r="G35"/>
  <c r="C37"/>
  <c r="H81" i="22"/>
  <c r="H77"/>
  <c r="H78" s="1"/>
  <c r="J20" i="15"/>
  <c r="D21"/>
  <c r="G24"/>
  <c r="J24"/>
  <c r="G26"/>
  <c r="J26"/>
  <c r="G28"/>
  <c r="J28"/>
  <c r="G30"/>
  <c r="J30"/>
  <c r="J34"/>
  <c r="G36"/>
  <c r="J36"/>
  <c r="D37"/>
  <c r="G37"/>
  <c r="J37"/>
  <c r="G42"/>
  <c r="J42"/>
  <c r="F43"/>
  <c r="G43" s="1"/>
  <c r="I43"/>
  <c r="J43" s="1"/>
  <c r="C44"/>
  <c r="D44" s="1"/>
  <c r="J44"/>
  <c r="D45"/>
  <c r="G45"/>
  <c r="J45"/>
  <c r="C56"/>
  <c r="D56" s="1"/>
  <c r="F56"/>
  <c r="G56" s="1"/>
  <c r="I56"/>
  <c r="J56" s="1"/>
  <c r="D57"/>
  <c r="G57"/>
  <c r="J57"/>
  <c r="C58"/>
  <c r="D58" s="1"/>
  <c r="F58"/>
  <c r="G58" s="1"/>
  <c r="I58"/>
  <c r="J58" s="1"/>
  <c r="D59"/>
  <c r="G59"/>
  <c r="J59"/>
  <c r="C60"/>
  <c r="D60" s="1"/>
  <c r="F60"/>
  <c r="G60" s="1"/>
  <c r="I60"/>
  <c r="J60" s="1"/>
  <c r="F61"/>
  <c r="G61" s="1"/>
  <c r="H12"/>
  <c r="E12"/>
  <c r="C12" s="1"/>
  <c r="B12"/>
  <c r="A12"/>
  <c r="K11"/>
  <c r="H11"/>
  <c r="E11"/>
  <c r="B11"/>
  <c r="A11"/>
  <c r="K10"/>
  <c r="H10"/>
  <c r="E10"/>
  <c r="B10"/>
  <c r="A10"/>
  <c r="K9"/>
  <c r="K15" s="1"/>
  <c r="H9"/>
  <c r="E9"/>
  <c r="E15" s="1"/>
  <c r="C9"/>
  <c r="B9"/>
  <c r="A9"/>
  <c r="A8"/>
  <c r="K7"/>
  <c r="H7"/>
  <c r="E7"/>
  <c r="B7"/>
  <c r="A67" i="13"/>
  <c r="A66"/>
  <c r="H65"/>
  <c r="F65"/>
  <c r="D65"/>
  <c r="B65"/>
  <c r="A65"/>
  <c r="H64"/>
  <c r="F64"/>
  <c r="D64"/>
  <c r="B64"/>
  <c r="A64"/>
  <c r="H63"/>
  <c r="F63"/>
  <c r="D63"/>
  <c r="B63"/>
  <c r="A63"/>
  <c r="H62"/>
  <c r="F62"/>
  <c r="D62"/>
  <c r="B62"/>
  <c r="A62"/>
  <c r="H61"/>
  <c r="F61"/>
  <c r="D61"/>
  <c r="B61"/>
  <c r="A61"/>
  <c r="H60"/>
  <c r="F60"/>
  <c r="D60"/>
  <c r="B60"/>
  <c r="A60"/>
  <c r="H59"/>
  <c r="F59"/>
  <c r="D59"/>
  <c r="B59"/>
  <c r="A59"/>
  <c r="H58"/>
  <c r="F58"/>
  <c r="D58"/>
  <c r="B58"/>
  <c r="A58"/>
  <c r="H57"/>
  <c r="F57"/>
  <c r="D57"/>
  <c r="B57"/>
  <c r="A57"/>
  <c r="H56"/>
  <c r="F56"/>
  <c r="D56"/>
  <c r="B56"/>
  <c r="A56"/>
  <c r="H55"/>
  <c r="F55"/>
  <c r="G60" s="1"/>
  <c r="D55"/>
  <c r="B55"/>
  <c r="A55"/>
  <c r="D43"/>
  <c r="B43"/>
  <c r="F42"/>
  <c r="D42"/>
  <c r="B42"/>
  <c r="D41"/>
  <c r="B41"/>
  <c r="D40"/>
  <c r="B40"/>
  <c r="D39"/>
  <c r="B39"/>
  <c r="D34"/>
  <c r="B34"/>
  <c r="D33"/>
  <c r="B33"/>
  <c r="D32"/>
  <c r="B32"/>
  <c r="D29"/>
  <c r="B29"/>
  <c r="D28"/>
  <c r="B28"/>
  <c r="D27"/>
  <c r="B27"/>
  <c r="D26"/>
  <c r="B26"/>
  <c r="D25"/>
  <c r="B25"/>
  <c r="D24"/>
  <c r="B24"/>
  <c r="D23"/>
  <c r="B23"/>
  <c r="D22"/>
  <c r="I9" i="15" l="1"/>
  <c r="B44" i="13"/>
  <c r="D44"/>
  <c r="C55"/>
  <c r="G55"/>
  <c r="E56"/>
  <c r="G56"/>
  <c r="C57"/>
  <c r="G57"/>
  <c r="E58"/>
  <c r="I58"/>
  <c r="C59"/>
  <c r="G59"/>
  <c r="I60"/>
  <c r="C61"/>
  <c r="I61"/>
  <c r="E62"/>
  <c r="I62"/>
  <c r="C63"/>
  <c r="I63"/>
  <c r="E64"/>
  <c r="I64"/>
  <c r="C65"/>
  <c r="G65"/>
  <c r="F76" i="22"/>
  <c r="F77" s="1"/>
  <c r="F78" s="1"/>
  <c r="G81"/>
  <c r="G77"/>
  <c r="G78" s="1"/>
  <c r="L23" i="14"/>
  <c r="L73"/>
  <c r="E55" i="13"/>
  <c r="I55"/>
  <c r="C56"/>
  <c r="I56"/>
  <c r="E57"/>
  <c r="I57"/>
  <c r="C58"/>
  <c r="G58"/>
  <c r="E59"/>
  <c r="I59"/>
  <c r="C60"/>
  <c r="E60"/>
  <c r="E61"/>
  <c r="G61"/>
  <c r="C62"/>
  <c r="G62"/>
  <c r="E63"/>
  <c r="G63"/>
  <c r="C64"/>
  <c r="G64"/>
  <c r="E65"/>
  <c r="I65"/>
  <c r="B15" i="15"/>
  <c r="D9"/>
  <c r="F9"/>
  <c r="H15"/>
  <c r="J9"/>
  <c r="C10"/>
  <c r="F10"/>
  <c r="G10" s="1"/>
  <c r="I10"/>
  <c r="C11"/>
  <c r="D11" s="1"/>
  <c r="F11"/>
  <c r="G11" s="1"/>
  <c r="D12"/>
  <c r="I12"/>
  <c r="J12" s="1"/>
  <c r="B22" i="13"/>
  <c r="C22" s="1"/>
  <c r="F20"/>
  <c r="G20" s="1"/>
  <c r="D20"/>
  <c r="E20" s="1"/>
  <c r="B20"/>
  <c r="C20" s="1"/>
  <c r="D19"/>
  <c r="E19" s="1"/>
  <c r="B19"/>
  <c r="C19" s="1"/>
  <c r="D18"/>
  <c r="E18" s="1"/>
  <c r="B18"/>
  <c r="C18" s="1"/>
  <c r="D17"/>
  <c r="E17" s="1"/>
  <c r="B17"/>
  <c r="C17" s="1"/>
  <c r="D13"/>
  <c r="E13" s="1"/>
  <c r="B13"/>
  <c r="C13" s="1"/>
  <c r="H12"/>
  <c r="F12"/>
  <c r="G12" s="1"/>
  <c r="E12"/>
  <c r="D12"/>
  <c r="C12"/>
  <c r="B12"/>
  <c r="A12"/>
  <c r="H11"/>
  <c r="F11"/>
  <c r="G11" s="1"/>
  <c r="D11"/>
  <c r="B11"/>
  <c r="C11" s="1"/>
  <c r="A11"/>
  <c r="H10"/>
  <c r="F10"/>
  <c r="G10" s="1"/>
  <c r="D10"/>
  <c r="E10" s="1"/>
  <c r="B10"/>
  <c r="C10" s="1"/>
  <c r="A10"/>
  <c r="D9"/>
  <c r="E9" s="1"/>
  <c r="B9"/>
  <c r="C9" s="1"/>
  <c r="A9"/>
  <c r="F8"/>
  <c r="G8" s="1"/>
  <c r="D8"/>
  <c r="D14" s="1"/>
  <c r="E14" s="1"/>
  <c r="B14"/>
  <c r="C14" s="1"/>
  <c r="A8"/>
  <c r="H6"/>
  <c r="F6"/>
  <c r="D6"/>
  <c r="B6"/>
  <c r="E35" i="20"/>
  <c r="E37" i="13" l="1"/>
  <c r="E35"/>
  <c r="E36"/>
  <c r="E38"/>
  <c r="E11"/>
  <c r="C23"/>
  <c r="C35"/>
  <c r="C36"/>
  <c r="G9" i="15"/>
  <c r="L74" i="14"/>
  <c r="L85"/>
  <c r="L86" s="1"/>
  <c r="L24"/>
  <c r="L25" s="1"/>
  <c r="D45" i="13"/>
  <c r="E44"/>
  <c r="E42"/>
  <c r="E41"/>
  <c r="E40"/>
  <c r="E39"/>
  <c r="E34"/>
  <c r="E33"/>
  <c r="E32"/>
  <c r="J10" i="15"/>
  <c r="D10"/>
  <c r="E43" i="13"/>
  <c r="E27"/>
  <c r="E22"/>
  <c r="C29"/>
  <c r="C27"/>
  <c r="C25"/>
  <c r="E26"/>
  <c r="E23"/>
  <c r="C44"/>
  <c r="B45"/>
  <c r="C42"/>
  <c r="C41"/>
  <c r="C40"/>
  <c r="C39"/>
  <c r="C34"/>
  <c r="C33"/>
  <c r="C32"/>
  <c r="C8"/>
  <c r="E8"/>
  <c r="F81" i="22"/>
  <c r="E29" i="13"/>
  <c r="E24"/>
  <c r="C43"/>
  <c r="C28"/>
  <c r="C26"/>
  <c r="C24"/>
  <c r="E28"/>
  <c r="E25"/>
  <c r="D35" i="20"/>
  <c r="C35"/>
  <c r="L75" i="14" l="1"/>
  <c r="L36"/>
  <c r="L26"/>
  <c r="D27" i="20"/>
  <c r="D30" l="1"/>
  <c r="L27" i="14"/>
  <c r="L37"/>
  <c r="L76"/>
  <c r="L77" l="1"/>
  <c r="L28"/>
  <c r="E22" i="20"/>
  <c r="D22"/>
  <c r="C22" s="1"/>
  <c r="D21"/>
  <c r="E16"/>
  <c r="D16"/>
  <c r="E9"/>
  <c r="E15" s="1"/>
  <c r="D9"/>
  <c r="D15" s="1"/>
  <c r="C9"/>
  <c r="D8"/>
  <c r="E25" i="1"/>
  <c r="D25"/>
  <c r="C25"/>
  <c r="B25"/>
  <c r="A25"/>
  <c r="E24"/>
  <c r="D24"/>
  <c r="C24"/>
  <c r="B24"/>
  <c r="A24"/>
  <c r="K21"/>
  <c r="J21"/>
  <c r="I21"/>
  <c r="H21"/>
  <c r="D21"/>
  <c r="C21"/>
  <c r="K20"/>
  <c r="J20"/>
  <c r="I20"/>
  <c r="H20"/>
  <c r="E20"/>
  <c r="E8" i="20" s="1"/>
  <c r="D20" i="1"/>
  <c r="C20"/>
  <c r="B20"/>
  <c r="E19"/>
  <c r="E21" s="1"/>
  <c r="K18"/>
  <c r="J18"/>
  <c r="I18"/>
  <c r="H18"/>
  <c r="E18" s="1"/>
  <c r="D18"/>
  <c r="C18"/>
  <c r="B18"/>
  <c r="E17"/>
  <c r="D17"/>
  <c r="C17"/>
  <c r="B17"/>
  <c r="E16"/>
  <c r="D16"/>
  <c r="C16"/>
  <c r="B16"/>
  <c r="E15"/>
  <c r="D15"/>
  <c r="C15"/>
  <c r="B15"/>
  <c r="E14"/>
  <c r="D14"/>
  <c r="C14"/>
  <c r="B14"/>
  <c r="K13"/>
  <c r="J13" s="1"/>
  <c r="I13"/>
  <c r="H13" s="1"/>
  <c r="E13" s="1"/>
  <c r="D13" s="1"/>
  <c r="C13"/>
  <c r="B13"/>
  <c r="K12"/>
  <c r="J12"/>
  <c r="I12"/>
  <c r="H12"/>
  <c r="E12"/>
  <c r="D12"/>
  <c r="C12"/>
  <c r="B12"/>
  <c r="K11"/>
  <c r="J11"/>
  <c r="I11"/>
  <c r="H11"/>
  <c r="E11"/>
  <c r="D11"/>
  <c r="C11"/>
  <c r="B11"/>
  <c r="K10"/>
  <c r="J10"/>
  <c r="I10"/>
  <c r="H10"/>
  <c r="E10"/>
  <c r="D10"/>
  <c r="C10"/>
  <c r="B10"/>
  <c r="E9"/>
  <c r="D9"/>
  <c r="C9"/>
  <c r="B9"/>
  <c r="E8"/>
  <c r="D8"/>
  <c r="C8"/>
  <c r="B8"/>
  <c r="E49" i="10" s="1"/>
  <c r="J48"/>
  <c r="K46"/>
  <c r="J46"/>
  <c r="I46" s="1"/>
  <c r="H46"/>
  <c r="K45"/>
  <c r="J45"/>
  <c r="I45"/>
  <c r="H45"/>
  <c r="E45"/>
  <c r="D45"/>
  <c r="C45"/>
  <c r="B45" s="1"/>
  <c r="K44" s="1"/>
  <c r="J44" s="1"/>
  <c r="I44" s="1"/>
  <c r="H44"/>
  <c r="E44"/>
  <c r="D44"/>
  <c r="C44"/>
  <c r="B44"/>
  <c r="K43"/>
  <c r="J43"/>
  <c r="I43"/>
  <c r="E43"/>
  <c r="D43"/>
  <c r="C43"/>
  <c r="B43"/>
  <c r="E42"/>
  <c r="D42"/>
  <c r="C42"/>
  <c r="B42"/>
  <c r="E41"/>
  <c r="D41"/>
  <c r="C41"/>
  <c r="B41"/>
  <c r="E40"/>
  <c r="D40"/>
  <c r="C40"/>
  <c r="B40"/>
  <c r="K37"/>
  <c r="J37"/>
  <c r="I37"/>
  <c r="H37"/>
  <c r="E37"/>
  <c r="D37"/>
  <c r="C37"/>
  <c r="B37"/>
  <c r="K36"/>
  <c r="J36"/>
  <c r="I36"/>
  <c r="H36"/>
  <c r="E36"/>
  <c r="D36"/>
  <c r="C36"/>
  <c r="B36"/>
  <c r="E35"/>
  <c r="D35"/>
  <c r="C35"/>
  <c r="B35"/>
  <c r="E34"/>
  <c r="D34"/>
  <c r="C34"/>
  <c r="B34"/>
  <c r="E33"/>
  <c r="D33"/>
  <c r="C33"/>
  <c r="B33"/>
  <c r="K31"/>
  <c r="J31"/>
  <c r="I31"/>
  <c r="H31"/>
  <c r="E31"/>
  <c r="D31"/>
  <c r="C31"/>
  <c r="B31"/>
  <c r="K30"/>
  <c r="J30"/>
  <c r="I30"/>
  <c r="H30"/>
  <c r="E30"/>
  <c r="D30"/>
  <c r="C30"/>
  <c r="B30"/>
  <c r="E29"/>
  <c r="D29"/>
  <c r="C29"/>
  <c r="B29"/>
  <c r="E28"/>
  <c r="D28"/>
  <c r="C28"/>
  <c r="B28"/>
  <c r="K27"/>
  <c r="J27"/>
  <c r="I27"/>
  <c r="H27"/>
  <c r="E27"/>
  <c r="D27"/>
  <c r="C27"/>
  <c r="B27"/>
  <c r="E26"/>
  <c r="D26"/>
  <c r="C26"/>
  <c r="B26"/>
  <c r="E25"/>
  <c r="D25"/>
  <c r="C25"/>
  <c r="B25"/>
  <c r="E24"/>
  <c r="D24"/>
  <c r="C24"/>
  <c r="B24"/>
  <c r="K23"/>
  <c r="J23"/>
  <c r="I23"/>
  <c r="H23"/>
  <c r="E23"/>
  <c r="D23"/>
  <c r="C23"/>
  <c r="B23"/>
  <c r="K21"/>
  <c r="J21"/>
  <c r="I21"/>
  <c r="H21"/>
  <c r="E21"/>
  <c r="D21"/>
  <c r="C21"/>
  <c r="B21"/>
  <c r="K20" s="1"/>
  <c r="J20" s="1"/>
  <c r="I20" s="1"/>
  <c r="H20" s="1"/>
  <c r="E20"/>
  <c r="D20"/>
  <c r="C20"/>
  <c r="B20"/>
  <c r="K19"/>
  <c r="J19"/>
  <c r="I19"/>
  <c r="H19"/>
  <c r="E19"/>
  <c r="D19"/>
  <c r="C19"/>
  <c r="B19"/>
  <c r="E18"/>
  <c r="D18"/>
  <c r="C18"/>
  <c r="B18"/>
  <c r="K15"/>
  <c r="J15" s="1"/>
  <c r="I15" s="1"/>
  <c r="H15" s="1"/>
  <c r="E15"/>
  <c r="D15"/>
  <c r="C15"/>
  <c r="B15"/>
  <c r="E14"/>
  <c r="D14"/>
  <c r="C14"/>
  <c r="B14"/>
  <c r="E13"/>
  <c r="D13"/>
  <c r="C13"/>
  <c r="B13"/>
  <c r="K12"/>
  <c r="J12"/>
  <c r="I12"/>
  <c r="H12"/>
  <c r="E12"/>
  <c r="D12"/>
  <c r="C12"/>
  <c r="B12"/>
  <c r="K11"/>
  <c r="J11"/>
  <c r="I11"/>
  <c r="H11"/>
  <c r="E11"/>
  <c r="D11"/>
  <c r="C11"/>
  <c r="B11"/>
  <c r="E10"/>
  <c r="D10"/>
  <c r="C10"/>
  <c r="B10"/>
  <c r="K9"/>
  <c r="J9"/>
  <c r="I9"/>
  <c r="H9"/>
  <c r="E9"/>
  <c r="D9"/>
  <c r="C9"/>
  <c r="B9"/>
  <c r="G3"/>
  <c r="B6" i="17" s="1"/>
  <c r="D19" i="1" l="1"/>
  <c r="F89" i="4"/>
  <c r="Q35"/>
  <c r="K67" i="15"/>
  <c r="H66" i="13"/>
  <c r="I66" s="1"/>
  <c r="F96" i="4"/>
  <c r="B35"/>
  <c r="H22"/>
  <c r="I80" i="22"/>
  <c r="K68" i="15"/>
  <c r="H67" i="13"/>
  <c r="I67" s="1"/>
  <c r="C19" i="1"/>
  <c r="E89" i="4"/>
  <c r="Q34"/>
  <c r="H67" i="15"/>
  <c r="F66" i="13"/>
  <c r="G66" s="1"/>
  <c r="E96" i="4"/>
  <c r="B34"/>
  <c r="H21"/>
  <c r="H80" i="22"/>
  <c r="H68" i="15"/>
  <c r="F67" i="13"/>
  <c r="G67" s="1"/>
  <c r="C96" i="4"/>
  <c r="H19"/>
  <c r="B32"/>
  <c r="F80" i="22"/>
  <c r="B68" i="15"/>
  <c r="B67" i="13"/>
  <c r="C67" s="1"/>
  <c r="B19" i="1"/>
  <c r="B21" s="1"/>
  <c r="D89" i="4"/>
  <c r="Q33"/>
  <c r="E67" i="15"/>
  <c r="D66" i="13"/>
  <c r="E66" s="1"/>
  <c r="D96" i="4"/>
  <c r="B33"/>
  <c r="H20"/>
  <c r="G80" i="22"/>
  <c r="E68" i="15"/>
  <c r="D67" i="13"/>
  <c r="E67" s="1"/>
  <c r="C8" i="20"/>
  <c r="C11" s="1"/>
  <c r="E11"/>
  <c r="D11"/>
  <c r="C30" i="14"/>
  <c r="C45" s="1"/>
  <c r="E45" s="1"/>
  <c r="C69" i="4"/>
  <c r="C70" s="1"/>
  <c r="C76" s="1"/>
  <c r="Q54"/>
  <c r="N54"/>
  <c r="E24"/>
  <c r="B31" i="15"/>
  <c r="B30" i="13"/>
  <c r="C125" i="14"/>
  <c r="B78"/>
  <c r="B93" s="1"/>
  <c r="E69" i="4"/>
  <c r="E70" s="1"/>
  <c r="E76" s="1"/>
  <c r="Q56"/>
  <c r="N56"/>
  <c r="E26"/>
  <c r="H31" i="15"/>
  <c r="F31" s="1"/>
  <c r="G31" s="1"/>
  <c r="F30" i="13"/>
  <c r="D46" i="10"/>
  <c r="C46" s="1"/>
  <c r="C78" i="14"/>
  <c r="C93" s="1"/>
  <c r="E93" s="1"/>
  <c r="B30"/>
  <c r="B45" s="1"/>
  <c r="D69" i="4"/>
  <c r="D70" s="1"/>
  <c r="D76" s="1"/>
  <c r="Q55"/>
  <c r="N55"/>
  <c r="E25"/>
  <c r="E31" i="15"/>
  <c r="E46" s="1"/>
  <c r="D30" i="13"/>
  <c r="B125" i="14"/>
  <c r="F69" i="4"/>
  <c r="F70" s="1"/>
  <c r="F76" s="1"/>
  <c r="Q57"/>
  <c r="N57"/>
  <c r="E27"/>
  <c r="K31" i="15"/>
  <c r="H30" i="13"/>
  <c r="B46" i="10"/>
  <c r="E46"/>
  <c r="D23" i="20"/>
  <c r="L29" i="14"/>
  <c r="L78"/>
  <c r="E23" i="20"/>
  <c r="I95" i="22" l="1"/>
  <c r="I97" s="1"/>
  <c r="I90"/>
  <c r="I92" s="1"/>
  <c r="I68" i="15"/>
  <c r="J68" s="1"/>
  <c r="H28" i="4"/>
  <c r="D35"/>
  <c r="H90" i="22"/>
  <c r="H92" s="1"/>
  <c r="H95"/>
  <c r="H97" s="1"/>
  <c r="H82"/>
  <c r="H83" s="1"/>
  <c r="F67" i="15"/>
  <c r="G67" s="1"/>
  <c r="H27" i="4"/>
  <c r="D34"/>
  <c r="H25"/>
  <c r="D32"/>
  <c r="C89"/>
  <c r="C91" s="1"/>
  <c r="Q32"/>
  <c r="B67" i="15"/>
  <c r="B66" i="13"/>
  <c r="C66" s="1"/>
  <c r="F95" i="22"/>
  <c r="F97" s="1"/>
  <c r="C97" s="1"/>
  <c r="F82"/>
  <c r="F83" s="1"/>
  <c r="I82" s="1"/>
  <c r="I83" s="1"/>
  <c r="G95"/>
  <c r="G97" s="1"/>
  <c r="G90"/>
  <c r="G82"/>
  <c r="G83" s="1"/>
  <c r="C68" i="15"/>
  <c r="D68" s="1"/>
  <c r="H26" i="4"/>
  <c r="D33"/>
  <c r="I31" i="15"/>
  <c r="J31" s="1"/>
  <c r="K46"/>
  <c r="J46" s="1"/>
  <c r="H46" s="1"/>
  <c r="M72" i="4"/>
  <c r="C111"/>
  <c r="D111" s="1"/>
  <c r="C23" i="19"/>
  <c r="Q62" i="4"/>
  <c r="T62" s="1"/>
  <c r="C25" i="19"/>
  <c r="Q64" i="4"/>
  <c r="T64" s="1"/>
  <c r="M74"/>
  <c r="C113"/>
  <c r="D113" s="1"/>
  <c r="C24" i="19"/>
  <c r="Q63" i="4"/>
  <c r="T63" s="1"/>
  <c r="M73"/>
  <c r="C112"/>
  <c r="D112" s="1"/>
  <c r="C22" i="19"/>
  <c r="Q61" i="4"/>
  <c r="T61" s="1"/>
  <c r="M71"/>
  <c r="C110"/>
  <c r="D110" s="1"/>
  <c r="B46" i="15"/>
  <c r="L30" i="14"/>
  <c r="H31"/>
  <c r="J8" s="1"/>
  <c r="J25"/>
  <c r="J26"/>
  <c r="J27"/>
  <c r="J28"/>
  <c r="J29"/>
  <c r="J30"/>
  <c r="J68"/>
  <c r="K68"/>
  <c r="K69" s="1"/>
  <c r="K70" s="1"/>
  <c r="K71" s="1"/>
  <c r="C13" i="15"/>
  <c r="C23"/>
  <c r="C24"/>
  <c r="C25"/>
  <c r="C26"/>
  <c r="C27"/>
  <c r="C28"/>
  <c r="C29"/>
  <c r="C14" i="20" s="1"/>
  <c r="C34" i="15"/>
  <c r="C35"/>
  <c r="C21" i="20" s="1"/>
  <c r="C23" s="1"/>
  <c r="I11" i="15"/>
  <c r="E14" i="20" s="1"/>
  <c r="E17" s="1"/>
  <c r="E18" s="1"/>
  <c r="F12" i="15"/>
  <c r="D14" i="20"/>
  <c r="D17" s="1"/>
  <c r="D18" s="1"/>
  <c r="C18" i="15"/>
  <c r="C42"/>
  <c r="C15" i="20"/>
  <c r="C19" i="15"/>
  <c r="C16" i="20"/>
  <c r="C40" i="15"/>
  <c r="C27" i="20"/>
  <c r="C41" i="15"/>
  <c r="E27" i="20"/>
  <c r="E30" s="1"/>
  <c r="F15" i="15"/>
  <c r="G15"/>
  <c r="H8" i="13"/>
  <c r="H20"/>
  <c r="F9"/>
  <c r="G9" s="1"/>
  <c r="H13"/>
  <c r="I13" s="1"/>
  <c r="H9"/>
  <c r="H14" s="1"/>
  <c r="I14" s="1"/>
  <c r="H17"/>
  <c r="I17"/>
  <c r="H18"/>
  <c r="I18"/>
  <c r="H19"/>
  <c r="I19"/>
  <c r="I15" i="15"/>
  <c r="J11"/>
  <c r="F13" i="13"/>
  <c r="G13" s="1"/>
  <c r="F17"/>
  <c r="G17" s="1"/>
  <c r="F18"/>
  <c r="G18" s="1"/>
  <c r="F19"/>
  <c r="G19" s="1"/>
  <c r="I11"/>
  <c r="I10"/>
  <c r="I12"/>
  <c r="I20"/>
  <c r="G12" i="15"/>
  <c r="F23" i="13"/>
  <c r="F43"/>
  <c r="F44" s="1"/>
  <c r="F24"/>
  <c r="F25"/>
  <c r="F26"/>
  <c r="F27"/>
  <c r="F28"/>
  <c r="F29"/>
  <c r="H32"/>
  <c r="H43"/>
  <c r="H44" s="1"/>
  <c r="H33"/>
  <c r="H34"/>
  <c r="H39"/>
  <c r="H40"/>
  <c r="H41"/>
  <c r="D28" i="15"/>
  <c r="D24"/>
  <c r="F20"/>
  <c r="G20"/>
  <c r="C61"/>
  <c r="D61" s="1"/>
  <c r="C43"/>
  <c r="D43"/>
  <c r="D35"/>
  <c r="C31"/>
  <c r="D31" s="1"/>
  <c r="D27"/>
  <c r="D23"/>
  <c r="F22" i="13"/>
  <c r="H22"/>
  <c r="H23"/>
  <c r="H24"/>
  <c r="H25"/>
  <c r="H26"/>
  <c r="H27"/>
  <c r="H28"/>
  <c r="H29"/>
  <c r="F32"/>
  <c r="F33"/>
  <c r="F34"/>
  <c r="F39"/>
  <c r="F40"/>
  <c r="F41"/>
  <c r="H42"/>
  <c r="F44" i="15"/>
  <c r="G44"/>
  <c r="D42"/>
  <c r="C36"/>
  <c r="D36" s="1"/>
  <c r="C30"/>
  <c r="D30" s="1"/>
  <c r="D26"/>
  <c r="I21"/>
  <c r="J21"/>
  <c r="D29"/>
  <c r="D25"/>
  <c r="F21"/>
  <c r="G21"/>
  <c r="C15"/>
  <c r="D13"/>
  <c r="D15"/>
  <c r="D18"/>
  <c r="D19"/>
  <c r="I61"/>
  <c r="J61" s="1"/>
  <c r="J15"/>
  <c r="D34"/>
  <c r="D40"/>
  <c r="D41"/>
  <c r="I67"/>
  <c r="J67" s="1"/>
  <c r="C67"/>
  <c r="D67" s="1"/>
  <c r="F68"/>
  <c r="G68" s="1"/>
  <c r="E66"/>
  <c r="F66" s="1"/>
  <c r="G66" s="1"/>
  <c r="I66"/>
  <c r="J66" s="1"/>
  <c r="F34" i="22"/>
  <c r="F35" s="1"/>
  <c r="I34"/>
  <c r="E34"/>
  <c r="I35"/>
  <c r="H34"/>
  <c r="H35" s="1"/>
  <c r="G40"/>
  <c r="G41" s="1"/>
  <c r="F40"/>
  <c r="F41" s="1"/>
  <c r="F50"/>
  <c r="F51" s="1"/>
  <c r="I50"/>
  <c r="I51" s="1"/>
  <c r="H50"/>
  <c r="H51" s="1"/>
  <c r="G50"/>
  <c r="G51" s="1"/>
  <c r="G34"/>
  <c r="G35" s="1"/>
  <c r="I40"/>
  <c r="I41" s="1"/>
  <c r="H40"/>
  <c r="H41" s="1"/>
  <c r="F53" i="19"/>
  <c r="B8" s="1"/>
  <c r="B18" s="1"/>
  <c r="B25" s="1"/>
  <c r="C45" s="1"/>
  <c r="E53"/>
  <c r="B7" s="1"/>
  <c r="B17" s="1"/>
  <c r="B24" s="1"/>
  <c r="C44" s="1"/>
  <c r="D53"/>
  <c r="B6" s="1"/>
  <c r="B16" s="1"/>
  <c r="B23" s="1"/>
  <c r="C43" s="1"/>
  <c r="C106" i="14"/>
  <c r="D106"/>
  <c r="H107" s="1"/>
  <c r="E106"/>
  <c r="O122" s="1"/>
  <c r="F80" i="4"/>
  <c r="F81" s="1"/>
  <c r="E80"/>
  <c r="D80"/>
  <c r="D81" s="1"/>
  <c r="C80"/>
  <c r="C81" s="1"/>
  <c r="C55" i="19"/>
  <c r="D85" i="4"/>
  <c r="D86"/>
  <c r="D91"/>
  <c r="D92" s="1"/>
  <c r="C85"/>
  <c r="C86"/>
  <c r="C97" s="1"/>
  <c r="C98" s="1"/>
  <c r="C92"/>
  <c r="M26" i="5"/>
  <c r="M27" s="1"/>
  <c r="L27"/>
  <c r="I26"/>
  <c r="I27" s="1"/>
  <c r="K26"/>
  <c r="G26"/>
  <c r="E26"/>
  <c r="D55" i="19"/>
  <c r="E27" i="5"/>
  <c r="D27"/>
  <c r="Q26"/>
  <c r="Q27" s="1"/>
  <c r="J79" i="14"/>
  <c r="F85" i="4"/>
  <c r="F86"/>
  <c r="F91"/>
  <c r="F92" s="1"/>
  <c r="E81"/>
  <c r="E85"/>
  <c r="E86"/>
  <c r="E97" s="1"/>
  <c r="E98" s="1"/>
  <c r="E91"/>
  <c r="E92" s="1"/>
  <c r="O26" i="5"/>
  <c r="J12" i="14"/>
  <c r="H32"/>
  <c r="Y48" i="7"/>
  <c r="Y62"/>
  <c r="Y63" s="1"/>
  <c r="Z63" s="1"/>
  <c r="C38" s="1"/>
  <c r="E38" s="1"/>
  <c r="E39" s="1"/>
  <c r="C39" s="1"/>
  <c r="C69" s="1"/>
  <c r="C140" i="14"/>
  <c r="D140"/>
  <c r="B140"/>
  <c r="K43" i="7"/>
  <c r="M43"/>
  <c r="M45" s="1"/>
  <c r="N45" s="1"/>
  <c r="C47" s="1"/>
  <c r="E47" s="1"/>
  <c r="E45"/>
  <c r="E22"/>
  <c r="E29" s="1"/>
  <c r="C29" s="1"/>
  <c r="B69" s="1"/>
  <c r="C27"/>
  <c r="E27"/>
  <c r="C22"/>
  <c r="Y68"/>
  <c r="Y69"/>
  <c r="Y80" s="1"/>
  <c r="Z80" s="1"/>
  <c r="C48" s="1"/>
  <c r="E48" s="1"/>
  <c r="Y71"/>
  <c r="Y72"/>
  <c r="Y73"/>
  <c r="Y75"/>
  <c r="I107" i="14"/>
  <c r="N122"/>
  <c r="I125"/>
  <c r="I121"/>
  <c r="I119"/>
  <c r="E43" i="7"/>
  <c r="B49"/>
  <c r="G12"/>
  <c r="G14" s="1"/>
  <c r="E14"/>
  <c r="E13"/>
  <c r="H13"/>
  <c r="F13"/>
  <c r="E16"/>
  <c r="E17" s="1"/>
  <c r="E15"/>
  <c r="F15" s="1"/>
  <c r="J32"/>
  <c r="P32"/>
  <c r="U46"/>
  <c r="C52"/>
  <c r="E52" s="1"/>
  <c r="Z93"/>
  <c r="C58" s="1"/>
  <c r="E58" s="1"/>
  <c r="F14"/>
  <c r="D14"/>
  <c r="H12"/>
  <c r="F16"/>
  <c r="A21"/>
  <c r="J22"/>
  <c r="U21" s="1"/>
  <c r="P22"/>
  <c r="J42"/>
  <c r="P42"/>
  <c r="U66"/>
  <c r="B63"/>
  <c r="E65"/>
  <c r="E66"/>
  <c r="H66" s="1"/>
  <c r="C65"/>
  <c r="C66" s="1"/>
  <c r="B65"/>
  <c r="B66"/>
  <c r="C68"/>
  <c r="C72" s="1"/>
  <c r="B68"/>
  <c r="B72"/>
  <c r="D65"/>
  <c r="H65"/>
  <c r="F65"/>
  <c r="J52"/>
  <c r="P52" s="1"/>
  <c r="U83"/>
  <c r="C53" i="19"/>
  <c r="B5" s="1"/>
  <c r="E55"/>
  <c r="C50" l="1"/>
  <c r="B81" i="5"/>
  <c r="B88" s="1"/>
  <c r="C49" i="19"/>
  <c r="B80" i="5"/>
  <c r="B87" s="1"/>
  <c r="C51" i="19"/>
  <c r="B82" i="5"/>
  <c r="B89" s="1"/>
  <c r="F87" i="4"/>
  <c r="F90" i="22"/>
  <c r="F92" s="1"/>
  <c r="C92" s="1"/>
  <c r="G92"/>
  <c r="C17" i="20"/>
  <c r="C18" s="1"/>
  <c r="F55" i="19"/>
  <c r="D89" i="5"/>
  <c r="C89" s="1"/>
  <c r="C54" i="19"/>
  <c r="D79" i="5"/>
  <c r="C79" s="1"/>
  <c r="E54" i="19"/>
  <c r="D81" i="5"/>
  <c r="C81" s="1"/>
  <c r="F54" i="19"/>
  <c r="D82" i="5"/>
  <c r="C82" s="1"/>
  <c r="D54" i="19"/>
  <c r="D80" i="5"/>
  <c r="C80" s="1"/>
  <c r="C18" i="19"/>
  <c r="C30" i="20"/>
  <c r="C24"/>
  <c r="N71" i="4"/>
  <c r="P71"/>
  <c r="F22" i="19"/>
  <c r="D22"/>
  <c r="N73" i="4"/>
  <c r="P73"/>
  <c r="F24" i="19"/>
  <c r="D24"/>
  <c r="N74" i="4"/>
  <c r="P74"/>
  <c r="F25" i="19"/>
  <c r="D25"/>
  <c r="D23"/>
  <c r="F23"/>
  <c r="N72" i="4"/>
  <c r="P72"/>
  <c r="E140" i="14"/>
  <c r="G23" i="13"/>
  <c r="G38"/>
  <c r="G35"/>
  <c r="G36"/>
  <c r="G37"/>
  <c r="G39"/>
  <c r="G40"/>
  <c r="G41"/>
  <c r="G42"/>
  <c r="G44"/>
  <c r="F45"/>
  <c r="I37"/>
  <c r="I35"/>
  <c r="I36"/>
  <c r="I38"/>
  <c r="G33"/>
  <c r="G22"/>
  <c r="G43"/>
  <c r="G29"/>
  <c r="G27"/>
  <c r="G25"/>
  <c r="I9"/>
  <c r="I8"/>
  <c r="G34"/>
  <c r="G32"/>
  <c r="I29"/>
  <c r="I27"/>
  <c r="I25"/>
  <c r="I23"/>
  <c r="G28"/>
  <c r="G26"/>
  <c r="G24"/>
  <c r="F14"/>
  <c r="G14" s="1"/>
  <c r="I28"/>
  <c r="I26"/>
  <c r="I24"/>
  <c r="I22"/>
  <c r="I41"/>
  <c r="I39"/>
  <c r="D72" i="7"/>
  <c r="G15"/>
  <c r="H14"/>
  <c r="C70"/>
  <c r="D69"/>
  <c r="O126" i="14"/>
  <c r="D24" i="20"/>
  <c r="D33" s="1"/>
  <c r="D36" s="1"/>
  <c r="D39" s="1"/>
  <c r="C17" i="19"/>
  <c r="B74" i="7"/>
  <c r="E59"/>
  <c r="C59" s="1"/>
  <c r="G69" s="1"/>
  <c r="E49"/>
  <c r="C49" s="1"/>
  <c r="E69" s="1"/>
  <c r="I40" i="13"/>
  <c r="F66" i="7"/>
  <c r="D66"/>
  <c r="F17"/>
  <c r="E68"/>
  <c r="B70"/>
  <c r="B73"/>
  <c r="H126" i="14"/>
  <c r="I32" i="13"/>
  <c r="I33"/>
  <c r="I34"/>
  <c r="I42"/>
  <c r="H45"/>
  <c r="I43"/>
  <c r="I44"/>
  <c r="E24" i="20"/>
  <c r="E33" s="1"/>
  <c r="E36" s="1"/>
  <c r="E39" s="1"/>
  <c r="K72" i="14"/>
  <c r="K73" s="1"/>
  <c r="K74" s="1"/>
  <c r="K75" s="1"/>
  <c r="K76" s="1"/>
  <c r="K77" s="1"/>
  <c r="K78" s="1"/>
  <c r="K85"/>
  <c r="K8"/>
  <c r="B22" i="19"/>
  <c r="C73" i="7"/>
  <c r="D73" s="1"/>
  <c r="D68"/>
  <c r="H16"/>
  <c r="C66" i="15"/>
  <c r="D66" s="1"/>
  <c r="J24" i="14"/>
  <c r="J23"/>
  <c r="J22"/>
  <c r="J21"/>
  <c r="J20"/>
  <c r="J19"/>
  <c r="J18"/>
  <c r="J17"/>
  <c r="J16"/>
  <c r="J15"/>
  <c r="J14"/>
  <c r="J13"/>
  <c r="J11"/>
  <c r="J10"/>
  <c r="J9"/>
  <c r="J31" s="1"/>
  <c r="F97" i="4"/>
  <c r="F98" s="1"/>
  <c r="C87"/>
  <c r="D87"/>
  <c r="D97"/>
  <c r="D98" s="1"/>
  <c r="E87"/>
  <c r="E101" s="1"/>
  <c r="E103" s="1"/>
  <c r="F101"/>
  <c r="D101"/>
  <c r="C101"/>
  <c r="C103" s="1"/>
  <c r="C5" i="19" l="1"/>
  <c r="B76" i="7"/>
  <c r="C33" i="20"/>
  <c r="C36" s="1"/>
  <c r="C39" s="1"/>
  <c r="C16" i="19"/>
  <c r="J119" i="14"/>
  <c r="J120"/>
  <c r="J121"/>
  <c r="J122"/>
  <c r="J123"/>
  <c r="J124"/>
  <c r="J125"/>
  <c r="J103"/>
  <c r="J104"/>
  <c r="J105"/>
  <c r="J106"/>
  <c r="J108"/>
  <c r="J109"/>
  <c r="J110"/>
  <c r="J111"/>
  <c r="J112"/>
  <c r="J113"/>
  <c r="J114"/>
  <c r="J115"/>
  <c r="J116"/>
  <c r="J117"/>
  <c r="J118"/>
  <c r="H127"/>
  <c r="M119"/>
  <c r="M117"/>
  <c r="M115"/>
  <c r="M113"/>
  <c r="M111"/>
  <c r="M109"/>
  <c r="M107"/>
  <c r="M105"/>
  <c r="M103"/>
  <c r="M124"/>
  <c r="M125"/>
  <c r="M120"/>
  <c r="M118"/>
  <c r="M116"/>
  <c r="M114"/>
  <c r="M112"/>
  <c r="M110"/>
  <c r="M108"/>
  <c r="M106"/>
  <c r="M104"/>
  <c r="M123"/>
  <c r="M121"/>
  <c r="H15" i="7"/>
  <c r="G17"/>
  <c r="K9" i="14"/>
  <c r="K10" s="1"/>
  <c r="K11" s="1"/>
  <c r="D70" i="7"/>
  <c r="E73"/>
  <c r="F73" s="1"/>
  <c r="F69"/>
  <c r="K86" i="14"/>
  <c r="I90"/>
  <c r="C12" i="19" s="1"/>
  <c r="F68" i="7"/>
  <c r="E72"/>
  <c r="E70"/>
  <c r="F70" s="1"/>
  <c r="H69"/>
  <c r="G73"/>
  <c r="H73" s="1"/>
  <c r="J107" i="14"/>
  <c r="M122"/>
  <c r="C74" i="7"/>
  <c r="C76" s="1"/>
  <c r="C6" i="19" s="1"/>
  <c r="F103" i="4"/>
  <c r="D103"/>
  <c r="H17" i="7" l="1"/>
  <c r="G68"/>
  <c r="F72"/>
  <c r="E74"/>
  <c r="E76" s="1"/>
  <c r="C7" i="19" s="1"/>
  <c r="K13" i="14"/>
  <c r="K14" s="1"/>
  <c r="K15" s="1"/>
  <c r="K16" s="1"/>
  <c r="K17" s="1"/>
  <c r="K18" s="1"/>
  <c r="K19" s="1"/>
  <c r="K20" s="1"/>
  <c r="K21" s="1"/>
  <c r="K22" s="1"/>
  <c r="K23" s="1"/>
  <c r="K12"/>
  <c r="L103"/>
  <c r="L104" s="1"/>
  <c r="L105" s="1"/>
  <c r="L106" s="1"/>
  <c r="L107" s="1"/>
  <c r="L108" s="1"/>
  <c r="L109" s="1"/>
  <c r="L110" s="1"/>
  <c r="L111" s="1"/>
  <c r="L112" s="1"/>
  <c r="L113" s="1"/>
  <c r="L114" s="1"/>
  <c r="L115" s="1"/>
  <c r="L116" s="1"/>
  <c r="L117" s="1"/>
  <c r="L118" s="1"/>
  <c r="L119" s="1"/>
  <c r="L120" s="1"/>
  <c r="M126"/>
  <c r="K103"/>
  <c r="K104" s="1"/>
  <c r="K105" s="1"/>
  <c r="K106" s="1"/>
  <c r="K107" s="1"/>
  <c r="K108" s="1"/>
  <c r="K109" s="1"/>
  <c r="K110" s="1"/>
  <c r="K111" s="1"/>
  <c r="K112" s="1"/>
  <c r="K113" s="1"/>
  <c r="K114" s="1"/>
  <c r="K115" s="1"/>
  <c r="K116" s="1"/>
  <c r="K117" s="1"/>
  <c r="K118" s="1"/>
  <c r="J126"/>
  <c r="L131" l="1"/>
  <c r="L132" s="1"/>
  <c r="L121"/>
  <c r="L122" s="1"/>
  <c r="L123" s="1"/>
  <c r="L124" s="1"/>
  <c r="L125" s="1"/>
  <c r="K131"/>
  <c r="K119"/>
  <c r="K120" s="1"/>
  <c r="K121" s="1"/>
  <c r="K122" s="1"/>
  <c r="K123" s="1"/>
  <c r="K124" s="1"/>
  <c r="K125" s="1"/>
  <c r="K24"/>
  <c r="K25" s="1"/>
  <c r="K26" s="1"/>
  <c r="K27" s="1"/>
  <c r="K28" s="1"/>
  <c r="K29" s="1"/>
  <c r="K30" s="1"/>
  <c r="K36"/>
  <c r="H68" i="7"/>
  <c r="G72"/>
  <c r="G70"/>
  <c r="H70" s="1"/>
  <c r="I136" i="14" l="1"/>
  <c r="C13" i="19" s="1"/>
  <c r="K132" i="14"/>
  <c r="H72" i="7"/>
  <c r="G74"/>
  <c r="I41" i="14"/>
  <c r="C11" i="19" s="1"/>
  <c r="K37" i="14"/>
  <c r="H74" i="7" l="1"/>
  <c r="G76"/>
  <c r="C8" i="19" s="1"/>
</calcChain>
</file>

<file path=xl/comments1.xml><?xml version="1.0" encoding="utf-8"?>
<comments xmlns="http://schemas.openxmlformats.org/spreadsheetml/2006/main">
  <authors>
    <author>Valued Acer Customer</author>
  </authors>
  <commentList>
    <comment ref="O54" authorId="0">
      <text>
        <r>
          <rPr>
            <b/>
            <sz val="8"/>
            <color indexed="81"/>
            <rFont val="Tahoma"/>
            <family val="2"/>
          </rPr>
          <t>Del negocio de los activos ahora nos ganamos X%</t>
        </r>
      </text>
    </comment>
  </commentList>
</comments>
</file>

<file path=xl/sharedStrings.xml><?xml version="1.0" encoding="utf-8"?>
<sst xmlns="http://schemas.openxmlformats.org/spreadsheetml/2006/main" count="786" uniqueCount="343">
  <si>
    <t>La Distribuidora S.A.</t>
  </si>
  <si>
    <t>Estado de Resultados</t>
  </si>
  <si>
    <t>Por los periodos terminados al</t>
  </si>
  <si>
    <t>Total ingresos</t>
  </si>
  <si>
    <t>Costo de ventas</t>
  </si>
  <si>
    <t>Utilidad bruta</t>
  </si>
  <si>
    <t>Gastos de ventas</t>
  </si>
  <si>
    <t>Gastos administrativos</t>
  </si>
  <si>
    <t>Utilidad de operación</t>
  </si>
  <si>
    <t>Gastos financieros</t>
  </si>
  <si>
    <t xml:space="preserve">Otros ingresos </t>
  </si>
  <si>
    <t>Otros gastos</t>
  </si>
  <si>
    <t>Utilidad antes de impuestos</t>
  </si>
  <si>
    <t>Impuesto de renta</t>
  </si>
  <si>
    <t>Utilidad neta</t>
  </si>
  <si>
    <t>Ingresos financieros</t>
  </si>
  <si>
    <t>Al</t>
  </si>
  <si>
    <t>Inventario</t>
  </si>
  <si>
    <t>Gastos diferidos</t>
  </si>
  <si>
    <t>Propiedad planta y equipo</t>
  </si>
  <si>
    <t>Activo no corriente</t>
  </si>
  <si>
    <t>Activo corriente</t>
  </si>
  <si>
    <t>Total activos</t>
  </si>
  <si>
    <t>Total activos no corrientes</t>
  </si>
  <si>
    <t>Total activo corriente</t>
  </si>
  <si>
    <t>Cuentas por pagar</t>
  </si>
  <si>
    <t>Reserva contratos ahorro y crédito corto plazo</t>
  </si>
  <si>
    <t>Préstamos por pagar corto plazo</t>
  </si>
  <si>
    <t>Impuestos por pagar</t>
  </si>
  <si>
    <t>Retenciones y aportes por pagar</t>
  </si>
  <si>
    <t>Otros activos</t>
  </si>
  <si>
    <t>Hipotecas por pagar</t>
  </si>
  <si>
    <t>Provisiones por pagar</t>
  </si>
  <si>
    <t>Préstamos por pagar largo plazo</t>
  </si>
  <si>
    <t>Reserva contratos ahorro y crédito largo plazo</t>
  </si>
  <si>
    <t>Activo neto</t>
  </si>
  <si>
    <t>Pasivo con costo</t>
  </si>
  <si>
    <t>Patrimonio</t>
  </si>
  <si>
    <t>Capital acciones</t>
  </si>
  <si>
    <t>Reserva legal</t>
  </si>
  <si>
    <t xml:space="preserve">Superavti por revaluación </t>
  </si>
  <si>
    <t>Total patrimonio</t>
  </si>
  <si>
    <t>Pasivos sin costo</t>
  </si>
  <si>
    <t>Total pasivo y patrimonio</t>
  </si>
  <si>
    <t>Total pasivo</t>
  </si>
  <si>
    <t>Flujo de efectivo</t>
  </si>
  <si>
    <t>Inversiones transitorias</t>
  </si>
  <si>
    <t>Inventarios</t>
  </si>
  <si>
    <t xml:space="preserve">Caja, bancos </t>
  </si>
  <si>
    <t>Incidencia</t>
  </si>
  <si>
    <t>costo de ventas</t>
  </si>
  <si>
    <t xml:space="preserve">          Gasto de </t>
  </si>
  <si>
    <t xml:space="preserve">           Ventas</t>
  </si>
  <si>
    <t>Ventas netas</t>
  </si>
  <si>
    <t>MUB</t>
  </si>
  <si>
    <t>Incid. gastos</t>
  </si>
  <si>
    <t xml:space="preserve">       Gastos de</t>
  </si>
  <si>
    <t>operación</t>
  </si>
  <si>
    <t>MUO</t>
  </si>
  <si>
    <t xml:space="preserve">               administrac.</t>
  </si>
  <si>
    <t>MUN</t>
  </si>
  <si>
    <t>Gastos Financieros</t>
  </si>
  <si>
    <t>Cuentas por cobrar</t>
  </si>
  <si>
    <t>Otros ingresos - otros gast.</t>
  </si>
  <si>
    <t>Dif</t>
  </si>
  <si>
    <t>RSC</t>
  </si>
  <si>
    <t>RAT</t>
  </si>
  <si>
    <t>Impuesto sobre la Renta</t>
  </si>
  <si>
    <t>R. CXC</t>
  </si>
  <si>
    <t>RAC</t>
  </si>
  <si>
    <t>Rotac vtas /x</t>
  </si>
  <si>
    <t xml:space="preserve">    Incidencia de </t>
  </si>
  <si>
    <t>R. INV</t>
  </si>
  <si>
    <t>RSC= ((RSIO+((RSIO-TI) E)+ OIG/CT)) (1-T)</t>
  </si>
  <si>
    <t>Indice de Deuda</t>
  </si>
  <si>
    <t>RSIO</t>
  </si>
  <si>
    <t>TI</t>
  </si>
  <si>
    <t>Indice de</t>
  </si>
  <si>
    <t>Margen de</t>
  </si>
  <si>
    <t>Efecto total</t>
  </si>
  <si>
    <t>Endeudamiento</t>
  </si>
  <si>
    <t>E</t>
  </si>
  <si>
    <t>apalancam.</t>
  </si>
  <si>
    <t>Pasivo corriente</t>
  </si>
  <si>
    <t>Pasivo a largo plazo</t>
  </si>
  <si>
    <t>Dividendos</t>
  </si>
  <si>
    <t>Poco exigible LP</t>
  </si>
  <si>
    <t>Exigible CP</t>
  </si>
  <si>
    <t>Más líquido de CP</t>
  </si>
  <si>
    <t>Total</t>
  </si>
  <si>
    <t>Depreciación</t>
  </si>
  <si>
    <t>Rotación de producto terminado</t>
  </si>
  <si>
    <t>Rotación de cuentas por cobrar</t>
  </si>
  <si>
    <t>Período medio de venta (días)</t>
  </si>
  <si>
    <t>Ciclo económico (días)</t>
  </si>
  <si>
    <t>Período medio de cobro (días)</t>
  </si>
  <si>
    <t>Ciclo total del circulante:</t>
  </si>
  <si>
    <t>PERÍODO MEDIO DE PAGO DEL PASIVO CORRIENTE</t>
  </si>
  <si>
    <t>Partida del pasivo corriente</t>
  </si>
  <si>
    <t>Vencimiento</t>
  </si>
  <si>
    <t>Ponderación</t>
  </si>
  <si>
    <t>Capital de trabajo</t>
  </si>
  <si>
    <t>Ciclo total del circulante</t>
  </si>
  <si>
    <t>Período medio de pago</t>
  </si>
  <si>
    <t>Días financiados a largo plazo</t>
  </si>
  <si>
    <t>Saldo neto de liquidez diaria</t>
  </si>
  <si>
    <t>% de reserva de liquidez (Saldo neto/TML)</t>
  </si>
  <si>
    <t>Reserva de más del 20%</t>
  </si>
  <si>
    <t>Alta protección</t>
  </si>
  <si>
    <t>Reserva entre el 10% y el 20%</t>
  </si>
  <si>
    <t>Protección moderada</t>
  </si>
  <si>
    <t>Inferior al 10%</t>
  </si>
  <si>
    <t>Estado de Situación</t>
  </si>
  <si>
    <t>Distribuidora Santa Bárbara de Pavas, S.A.</t>
  </si>
  <si>
    <t>ORIGINALES</t>
  </si>
  <si>
    <t>FICTICIOS</t>
  </si>
  <si>
    <t>%</t>
  </si>
  <si>
    <t>Interpretación</t>
  </si>
  <si>
    <t>Aguinaldo</t>
  </si>
  <si>
    <t>Vacaciones</t>
  </si>
  <si>
    <t xml:space="preserve">Factor de conversión </t>
  </si>
  <si>
    <t>Análisis de solidez</t>
  </si>
  <si>
    <t>Indices</t>
  </si>
  <si>
    <t>Datos</t>
  </si>
  <si>
    <t>Análisis de Puntualidad</t>
  </si>
  <si>
    <t>Análisis vertical del Estado de Situación</t>
  </si>
  <si>
    <t>Análisis vertical del Estado de Resultados</t>
  </si>
  <si>
    <t>Detalles días vencimiento</t>
  </si>
  <si>
    <t>Ponderado</t>
  </si>
  <si>
    <t>Plazo</t>
  </si>
  <si>
    <t>Monto</t>
  </si>
  <si>
    <t>Promedio</t>
  </si>
  <si>
    <t>Estado Estructurado de Fuentes y Empleos de Fondos</t>
  </si>
  <si>
    <t>Concepto</t>
  </si>
  <si>
    <t xml:space="preserve"> Individual</t>
  </si>
  <si>
    <t>Acumulado</t>
  </si>
  <si>
    <t>Total de Fuentes</t>
  </si>
  <si>
    <t>Total de Empleos</t>
  </si>
  <si>
    <t>Análisis de Exigibilidad</t>
  </si>
  <si>
    <t>Poco líquido de LP</t>
  </si>
  <si>
    <t>Fuentes</t>
  </si>
  <si>
    <t>Empleos</t>
  </si>
  <si>
    <t>Ppe</t>
  </si>
  <si>
    <t>OA</t>
  </si>
  <si>
    <t>dif</t>
  </si>
  <si>
    <t>inv</t>
  </si>
  <si>
    <t>cxc</t>
  </si>
  <si>
    <t>inv tr</t>
  </si>
  <si>
    <t>bcos</t>
  </si>
  <si>
    <t>Cptal</t>
  </si>
  <si>
    <t>Reser</t>
  </si>
  <si>
    <t>supera</t>
  </si>
  <si>
    <t>util</t>
  </si>
  <si>
    <t>P LP</t>
  </si>
  <si>
    <t>Res LP</t>
  </si>
  <si>
    <t>trans</t>
  </si>
  <si>
    <t>ret y apo</t>
  </si>
  <si>
    <t>imp x p</t>
  </si>
  <si>
    <t>res cp</t>
  </si>
  <si>
    <t>cxp</t>
  </si>
  <si>
    <t>prov</t>
  </si>
  <si>
    <t>P cP</t>
  </si>
  <si>
    <t>Hip</t>
  </si>
  <si>
    <t>div</t>
  </si>
  <si>
    <t>cap</t>
  </si>
  <si>
    <t>reserv</t>
  </si>
  <si>
    <t>super</t>
  </si>
  <si>
    <t>P Cp</t>
  </si>
  <si>
    <t>retenc xp</t>
  </si>
  <si>
    <t>imp</t>
  </si>
  <si>
    <t>ppe</t>
  </si>
  <si>
    <t>oa</t>
  </si>
  <si>
    <t>inv tran</t>
  </si>
  <si>
    <t>Resr LP</t>
  </si>
  <si>
    <t>Prov</t>
  </si>
  <si>
    <t>tran</t>
  </si>
  <si>
    <t>Absoluta</t>
  </si>
  <si>
    <t>Variación</t>
  </si>
  <si>
    <t>Análisis horizontal del Estado de Situación</t>
  </si>
  <si>
    <t>Análisis horizontal del Estado de Resultados</t>
  </si>
  <si>
    <t>Para determinar la solidez de la Compañía:</t>
  </si>
  <si>
    <t>1.Estado Situación'!A1</t>
  </si>
  <si>
    <t>2.Estado Resultados'!A1</t>
  </si>
  <si>
    <t>Indice del documento</t>
  </si>
  <si>
    <t>Elaborado por:</t>
  </si>
  <si>
    <t>Ivette Ruiz Song</t>
  </si>
  <si>
    <t>Trabajo Final de Graduación</t>
  </si>
  <si>
    <t>Universidad de Costa Rica</t>
  </si>
  <si>
    <t>Año: 2013</t>
  </si>
  <si>
    <t xml:space="preserve">ANÁLISIS FINANCIERO INTEGRAL </t>
  </si>
  <si>
    <t>Volver a la página del Indice</t>
  </si>
  <si>
    <t>TME:Tendencia media de exigibilidad</t>
  </si>
  <si>
    <t>TML:Tendencia media de liquidez</t>
  </si>
  <si>
    <t>La Distribuidora, S.A.</t>
  </si>
  <si>
    <t>PMI</t>
  </si>
  <si>
    <t>PMC</t>
  </si>
  <si>
    <t>Detalle deuda a corto plazo</t>
  </si>
  <si>
    <t>Fecha vencimiento</t>
  </si>
  <si>
    <t>Fecha de corte</t>
  </si>
  <si>
    <t>Resumen de resultados</t>
  </si>
  <si>
    <t xml:space="preserve">se financia en un </t>
  </si>
  <si>
    <t>con pasivo no corriente</t>
  </si>
  <si>
    <t xml:space="preserve">                          FINANCIE &gt; DEL 30% DEL AC CON PLP O PATRIM.</t>
  </si>
  <si>
    <t xml:space="preserve">                          FINANCIE ENTRE 30% Y 10% DEL AC CON  PLP O PATRIM.</t>
  </si>
  <si>
    <t xml:space="preserve">                          FINANCIE &lt; DEL 10% DEL AC CON PLP O PATRIM.</t>
  </si>
  <si>
    <t>1- Debe existir una parte importante del activo largo plazo financiado con patrimonio, para asegurar que la parte menos liquida de los activos se financien con fuentes técnicas no jurídicas.  Además el resto del activo largo plazo debe financiarse con pasivo largo plazo.</t>
  </si>
  <si>
    <t>2- Debe existir una parte significativa del activo circulante financiada con pasivo largo plazo y patrimonio, para evitar que estos activos se financien totalmente  con pasivo corto plazo y mantener un margen de cobertura razonable del activo al pasivo circulante.</t>
  </si>
  <si>
    <t>La solidez financiera evalúa si las inversiones en activos, de menor y mayor liquidez, han sido financiadas correcta o inadecuadamente con fuentes de menor o mayor exigibilidad</t>
  </si>
  <si>
    <t>Por lo tanto, la solidez evalúa el nivel de riesgo de las estructuras financieras y su concepto es inverso al riesgo.</t>
  </si>
  <si>
    <t>·         Alta solidez implica bajo riesgo</t>
  </si>
  <si>
    <t>·         Baja solidez representa alto riesgo</t>
  </si>
  <si>
    <r>
      <t xml:space="preserve">     ALTA: </t>
    </r>
    <r>
      <rPr>
        <sz val="10"/>
        <color theme="1"/>
        <rFont val="Arial"/>
        <family val="2"/>
      </rPr>
      <t xml:space="preserve">         FINANCIE &gt; DEL 60% DEL ALP CON PATRIM.</t>
    </r>
  </si>
  <si>
    <r>
      <t xml:space="preserve">ACEPTABLE:  </t>
    </r>
    <r>
      <rPr>
        <sz val="10"/>
        <color theme="1"/>
        <rFont val="Arial"/>
        <family val="2"/>
      </rPr>
      <t>FINANCIE ENTRE 60% Y 30% DEL ALP CON PATRIM.</t>
    </r>
  </si>
  <si>
    <r>
      <t xml:space="preserve">     BAJA:</t>
    </r>
    <r>
      <rPr>
        <sz val="10"/>
        <color theme="1"/>
        <rFont val="Arial"/>
        <family val="2"/>
      </rPr>
      <t xml:space="preserve">          FINANCIE &lt; DEL 30% DEL ALP CON PATRIM.</t>
    </r>
  </si>
  <si>
    <t>Solidez</t>
  </si>
  <si>
    <t>Puntualidad</t>
  </si>
  <si>
    <t>Fuentes y empleos</t>
  </si>
  <si>
    <t>Regla 1</t>
  </si>
  <si>
    <t>Regla 2</t>
  </si>
  <si>
    <t>No constituye una protección suficiente</t>
  </si>
  <si>
    <t>Dividendos pagados</t>
  </si>
  <si>
    <t>Saldo del efectivo al final</t>
  </si>
  <si>
    <t>Saldo del efectivo al inicio</t>
  </si>
  <si>
    <t>Variación neta en el efectivo</t>
  </si>
  <si>
    <t>Total actividades de financiamiento con patrimonio</t>
  </si>
  <si>
    <t>Financiamiento con acciones comunes</t>
  </si>
  <si>
    <t>Actividades de financiamiento con patrimonio</t>
  </si>
  <si>
    <t>Flujo de socios</t>
  </si>
  <si>
    <t>Total actividades de financiamiento con deuda</t>
  </si>
  <si>
    <t>Actividades de inversión</t>
  </si>
  <si>
    <t>Actividades de financiamiento con deuda</t>
  </si>
  <si>
    <t>Flujo libre de la empresa</t>
  </si>
  <si>
    <t>Total actividades de inversión</t>
  </si>
  <si>
    <t>Inmuebles maquinaria y equipo</t>
  </si>
  <si>
    <t>Capital de trabajo financiero</t>
  </si>
  <si>
    <t xml:space="preserve">  Depreciación</t>
  </si>
  <si>
    <t xml:space="preserve">  Utilidad neta</t>
  </si>
  <si>
    <t>Flujo de las actividades de la empresa:</t>
  </si>
  <si>
    <t>Otras cuentas por pagar</t>
  </si>
  <si>
    <t>Utilidades</t>
  </si>
  <si>
    <t>Compras</t>
  </si>
  <si>
    <t>Flujo de efectivo financiero</t>
  </si>
  <si>
    <t>Cuentas por cobrar varias</t>
  </si>
  <si>
    <t>Cuentas por cobrar comerciales</t>
  </si>
  <si>
    <t>ACTIVO NETO</t>
  </si>
  <si>
    <t>INTERESES</t>
  </si>
  <si>
    <t>DEUDA</t>
  </si>
  <si>
    <t>RSIO-TI</t>
  </si>
  <si>
    <t>DEUDA CON COSTO</t>
  </si>
  <si>
    <t>PATRIMONIO</t>
  </si>
  <si>
    <t>(RSIO-TI) *E</t>
  </si>
  <si>
    <t>OTROS INGRESOS</t>
  </si>
  <si>
    <t>OTROS GASTOS</t>
  </si>
  <si>
    <t>OTROS ING-OTROS GASTOS</t>
  </si>
  <si>
    <t>OIG/PATRIM</t>
  </si>
  <si>
    <t>IMPUESTO RENTA</t>
  </si>
  <si>
    <t>UTILIDAD ANTES DE IMPUESTO</t>
  </si>
  <si>
    <t>% IMPUESTO RENTA</t>
  </si>
  <si>
    <t>(1-T)</t>
  </si>
  <si>
    <t>RSC=UTILIDAD NETA/PATRIMONIO</t>
  </si>
  <si>
    <t>UTILIDAD NETA</t>
  </si>
  <si>
    <t>Prueba</t>
  </si>
  <si>
    <t>UTILIDAD OPERACIÓN</t>
  </si>
  <si>
    <t>Emito</t>
  </si>
  <si>
    <t>Emisión de acciones o deuda</t>
  </si>
  <si>
    <t>NS</t>
  </si>
  <si>
    <t>Rendimiento sobre Patrimonio</t>
  </si>
  <si>
    <t>Utilidad Neta</t>
  </si>
  <si>
    <t>Rendimiento sobre Patrimonio:</t>
  </si>
  <si>
    <t>Rendimiento sobre la Inversión</t>
  </si>
  <si>
    <t>Rendimiento sobre la Inversión:</t>
  </si>
  <si>
    <t>Rendimiento sobre Activos</t>
  </si>
  <si>
    <t>Utilidad de Operación</t>
  </si>
  <si>
    <t>Rendimiento sobre Activos:</t>
  </si>
  <si>
    <t>Margen de Utilidad Neta</t>
  </si>
  <si>
    <t>Ventas</t>
  </si>
  <si>
    <t>Margen de Utilidad Neta:</t>
  </si>
  <si>
    <t>Margen de Utilidad de Operación</t>
  </si>
  <si>
    <t>Margen de Utilidad de Operación:</t>
  </si>
  <si>
    <t>Margen de Utilidad Bruta</t>
  </si>
  <si>
    <t>Utilidad Bruta</t>
  </si>
  <si>
    <t>Margen de Utilidad Bruta:</t>
  </si>
  <si>
    <t>Índices de Rentabilidad</t>
  </si>
  <si>
    <t>Rotación Activo Total</t>
  </si>
  <si>
    <t xml:space="preserve">Ventas </t>
  </si>
  <si>
    <t>Rotación de Activo Total:</t>
  </si>
  <si>
    <t>Rotación de Activo Largo Plazo</t>
  </si>
  <si>
    <t>Activo Largo Plazo</t>
  </si>
  <si>
    <t>Rotación de Activo Largo Plazo:</t>
  </si>
  <si>
    <t>Rotación de Activo Fijo:</t>
  </si>
  <si>
    <t>Rotación de Activo Circulante</t>
  </si>
  <si>
    <t>Activo Circulante</t>
  </si>
  <si>
    <t>Rotación de Activo Circulante:</t>
  </si>
  <si>
    <t>Periodo Medio de Pago</t>
  </si>
  <si>
    <t>Periodo Medio de Pago:</t>
  </si>
  <si>
    <t>Periodo Medio de Cobro</t>
  </si>
  <si>
    <t>Rotación de Cuentas por Cobrar</t>
  </si>
  <si>
    <t>Rotación de Cuentas por Cobrar:</t>
  </si>
  <si>
    <t>Periodo Medio de Inventario</t>
  </si>
  <si>
    <t>Rotación de Inventario</t>
  </si>
  <si>
    <t>Inventario Promedio</t>
  </si>
  <si>
    <t>Costo de Ventas</t>
  </si>
  <si>
    <t>Rotación de Inventario:</t>
  </si>
  <si>
    <t>Índices de Gestión</t>
  </si>
  <si>
    <t>Índice de Endeudamiento</t>
  </si>
  <si>
    <t>Índice de Endeudamiento:</t>
  </si>
  <si>
    <t>Índice de Deuda</t>
  </si>
  <si>
    <t>Índice de Deuda:</t>
  </si>
  <si>
    <t>Prueba del Ácido</t>
  </si>
  <si>
    <t>Prueba del Ácido:</t>
  </si>
  <si>
    <t>Razón Circulante</t>
  </si>
  <si>
    <t>Razón Circulante:</t>
  </si>
  <si>
    <t>Índices de Estabilidad</t>
  </si>
  <si>
    <t>Activo Corriente</t>
  </si>
  <si>
    <t>Pasivo Corriente</t>
  </si>
  <si>
    <t>Total pasivos</t>
  </si>
  <si>
    <t>Índices financieros</t>
  </si>
  <si>
    <t>Rotación de PPE</t>
  </si>
  <si>
    <t>RLP</t>
  </si>
  <si>
    <t>RSP</t>
  </si>
  <si>
    <t>apalancamiento IAP</t>
  </si>
  <si>
    <t>RSI</t>
  </si>
  <si>
    <t>ROA</t>
  </si>
  <si>
    <t>3.Flujo efectivo financiero'!A1</t>
  </si>
  <si>
    <t>4.A. Vertical'!A1</t>
  </si>
  <si>
    <t>5.A. horizontal'!A1</t>
  </si>
  <si>
    <t>6. Índices financieros'!A1</t>
  </si>
  <si>
    <t>7.Dupont'!A1</t>
  </si>
  <si>
    <t>8.Solidez'!A1</t>
  </si>
  <si>
    <t>9.Fuentes y empleos'!A1</t>
  </si>
  <si>
    <t>10.Puntualidad'!A1</t>
  </si>
  <si>
    <t>Resumen!A1</t>
  </si>
  <si>
    <t>Flujo de la empresa</t>
  </si>
  <si>
    <t>Préstamos LP (amortizaciones)</t>
  </si>
  <si>
    <t>Préstamos corto plazo (amortizaciones)</t>
  </si>
  <si>
    <t>Utilidades no distribuidas</t>
  </si>
  <si>
    <t>con patrimonio</t>
  </si>
  <si>
    <t>Regla No.1</t>
  </si>
  <si>
    <t>Regla No.2</t>
  </si>
  <si>
    <t>Intereses</t>
  </si>
  <si>
    <t>OTROS INGRES Y GASTOS NO DEDUC ----- OTROS ING Y GATOS</t>
  </si>
  <si>
    <t>Pasivo largo plazo</t>
  </si>
  <si>
    <t>Activo corriente menos gastos diferidos</t>
  </si>
</sst>
</file>

<file path=xl/styles.xml><?xml version="1.0" encoding="utf-8"?>
<styleSheet xmlns="http://schemas.openxmlformats.org/spreadsheetml/2006/main">
  <numFmts count="9">
    <numFmt numFmtId="41" formatCode="_(* #,##0_);_(* \(#,##0\);_(* &quot;-&quot;_);_(@_)"/>
    <numFmt numFmtId="43" formatCode="_(* #,##0.00_);_(* \(#,##0.00\);_(* &quot;-&quot;??_);_(@_)"/>
    <numFmt numFmtId="164" formatCode="[$-409]d\-mmm\-yy;@"/>
    <numFmt numFmtId="165" formatCode="_(* #,##0.0000_);_(* \(#,##0.0000\);_(* &quot;-&quot;??_);_(@_)"/>
    <numFmt numFmtId="166" formatCode="_(* #,##0.0_);_(* \(#,##0.0\);_(* &quot;-&quot;??_);_(@_)"/>
    <numFmt numFmtId="167" formatCode="_(* #,##0_);_(* \(#,##0\);_(* &quot;-&quot;??_);_(@_)"/>
    <numFmt numFmtId="168" formatCode="0.0%"/>
    <numFmt numFmtId="169" formatCode="0.00000000"/>
    <numFmt numFmtId="170" formatCode="#,##0.00\x_);\(#,##0.00\x\)"/>
  </numFmts>
  <fonts count="47">
    <font>
      <sz val="11"/>
      <color theme="1"/>
      <name val="Calibri"/>
      <family val="2"/>
      <scheme val="minor"/>
    </font>
    <font>
      <sz val="11"/>
      <color theme="1"/>
      <name val="Calibri"/>
      <family val="2"/>
      <scheme val="minor"/>
    </font>
    <font>
      <sz val="10"/>
      <name val="Arial"/>
      <family val="2"/>
    </font>
    <font>
      <b/>
      <sz val="8"/>
      <color indexed="81"/>
      <name val="Tahoma"/>
      <family val="2"/>
    </font>
    <font>
      <b/>
      <sz val="10"/>
      <color theme="0"/>
      <name val="Arial"/>
      <family val="2"/>
    </font>
    <font>
      <sz val="10"/>
      <color theme="0"/>
      <name val="Arial"/>
      <family val="2"/>
    </font>
    <font>
      <u/>
      <sz val="11"/>
      <color theme="10"/>
      <name val="Calibri"/>
      <family val="2"/>
    </font>
    <font>
      <b/>
      <sz val="14"/>
      <color theme="0"/>
      <name val="Calibri"/>
      <family val="2"/>
      <scheme val="minor"/>
    </font>
    <font>
      <sz val="14"/>
      <color theme="3" tint="-0.249977111117893"/>
      <name val="Calibri"/>
      <family val="2"/>
      <scheme val="minor"/>
    </font>
    <font>
      <sz val="11"/>
      <color theme="3" tint="-0.249977111117893"/>
      <name val="Calibri"/>
      <family val="2"/>
      <scheme val="minor"/>
    </font>
    <font>
      <u/>
      <sz val="11"/>
      <color theme="3" tint="-0.249977111117893"/>
      <name val="Calibri"/>
      <family val="2"/>
    </font>
    <font>
      <sz val="10"/>
      <color theme="3" tint="-0.249977111117893"/>
      <name val="Arial"/>
      <family val="2"/>
    </font>
    <font>
      <b/>
      <sz val="10"/>
      <color theme="3" tint="-0.249977111117893"/>
      <name val="Arial"/>
      <family val="2"/>
    </font>
    <font>
      <b/>
      <sz val="12"/>
      <color theme="3" tint="-0.249977111117893"/>
      <name val="Arial"/>
      <family val="2"/>
    </font>
    <font>
      <sz val="12"/>
      <color theme="3" tint="-0.249977111117893"/>
      <name val="Arial"/>
      <family val="2"/>
    </font>
    <font>
      <sz val="14"/>
      <color theme="0"/>
      <name val="Calibri"/>
      <family val="2"/>
      <scheme val="minor"/>
    </font>
    <font>
      <sz val="9"/>
      <color theme="1"/>
      <name val="Arial"/>
      <family val="2"/>
    </font>
    <font>
      <b/>
      <sz val="11"/>
      <color theme="1"/>
      <name val="Calibri"/>
      <family val="2"/>
      <scheme val="minor"/>
    </font>
    <font>
      <b/>
      <sz val="10"/>
      <name val="Arial"/>
      <family val="2"/>
    </font>
    <font>
      <b/>
      <sz val="10"/>
      <color rgb="FF000000"/>
      <name val="Arial"/>
      <family val="2"/>
    </font>
    <font>
      <sz val="10"/>
      <color theme="1"/>
      <name val="Arial"/>
      <family val="2"/>
    </font>
    <font>
      <u/>
      <sz val="10"/>
      <color theme="3" tint="-0.249977111117893"/>
      <name val="Arial"/>
      <family val="2"/>
    </font>
    <font>
      <sz val="10"/>
      <color theme="4" tint="-0.249977111117893"/>
      <name val="Arial"/>
      <family val="2"/>
    </font>
    <font>
      <b/>
      <sz val="10"/>
      <color theme="4" tint="-0.249977111117893"/>
      <name val="Arial"/>
      <family val="2"/>
    </font>
    <font>
      <sz val="10"/>
      <name val="Arial"/>
      <family val="2"/>
    </font>
    <font>
      <sz val="11"/>
      <color theme="4" tint="-0.249977111117893"/>
      <name val="Arial"/>
      <family val="2"/>
    </font>
    <font>
      <b/>
      <sz val="11"/>
      <color theme="4" tint="-0.249977111117893"/>
      <name val="Arial"/>
      <family val="2"/>
    </font>
    <font>
      <sz val="11"/>
      <color theme="1"/>
      <name val="Arial"/>
      <family val="2"/>
    </font>
    <font>
      <sz val="11"/>
      <color theme="3" tint="-0.249977111117893"/>
      <name val="Arial"/>
      <family val="2"/>
    </font>
    <font>
      <sz val="11"/>
      <color theme="0"/>
      <name val="Arial"/>
      <family val="2"/>
    </font>
    <font>
      <b/>
      <sz val="11"/>
      <color theme="3" tint="-0.249977111117893"/>
      <name val="Arial"/>
      <family val="2"/>
    </font>
    <font>
      <b/>
      <sz val="11"/>
      <color theme="0"/>
      <name val="Arial"/>
      <family val="2"/>
    </font>
    <font>
      <sz val="10"/>
      <name val="Helv"/>
    </font>
    <font>
      <b/>
      <sz val="10"/>
      <color theme="3" tint="-0.249977111117893"/>
      <name val="Tahoma"/>
      <family val="2"/>
    </font>
    <font>
      <sz val="10"/>
      <color theme="3" tint="-0.249977111117893"/>
      <name val="Tahoma"/>
      <family val="2"/>
    </font>
    <font>
      <b/>
      <sz val="11"/>
      <color theme="3" tint="-0.249977111117893"/>
      <name val="Calibri"/>
      <family val="2"/>
      <scheme val="minor"/>
    </font>
    <font>
      <u/>
      <sz val="11"/>
      <color theme="3" tint="-0.249977111117893"/>
      <name val="Arial"/>
      <family val="2"/>
    </font>
    <font>
      <b/>
      <sz val="11"/>
      <color theme="1"/>
      <name val="Arial"/>
      <family val="2"/>
    </font>
    <font>
      <sz val="10"/>
      <color theme="3" tint="-0.249977111117893"/>
      <name val="Arial"/>
      <family val="2"/>
    </font>
    <font>
      <b/>
      <sz val="11"/>
      <color theme="3"/>
      <name val="Arial"/>
      <family val="2"/>
    </font>
    <font>
      <b/>
      <sz val="10"/>
      <color theme="3"/>
      <name val="Arial"/>
      <family val="2"/>
    </font>
    <font>
      <sz val="14"/>
      <name val="Arial"/>
      <family val="2"/>
    </font>
    <font>
      <b/>
      <sz val="14"/>
      <name val="Arial"/>
      <family val="2"/>
    </font>
    <font>
      <b/>
      <i/>
      <sz val="14"/>
      <name val="Arial"/>
      <family val="2"/>
    </font>
    <font>
      <i/>
      <sz val="14"/>
      <name val="Arial"/>
      <family val="2"/>
    </font>
    <font>
      <sz val="14"/>
      <name val="Calibri"/>
      <family val="2"/>
      <scheme val="minor"/>
    </font>
    <font>
      <b/>
      <sz val="12"/>
      <color theme="0"/>
      <name val="Arial"/>
      <family val="2"/>
    </font>
  </fonts>
  <fills count="15">
    <fill>
      <patternFill patternType="none"/>
    </fill>
    <fill>
      <patternFill patternType="gray125"/>
    </fill>
    <fill>
      <patternFill patternType="solid">
        <fgColor theme="3" tint="0.79998168889431442"/>
        <bgColor indexed="64"/>
      </patternFill>
    </fill>
    <fill>
      <patternFill patternType="solid">
        <fgColor theme="5"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3"/>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3" tint="-0.249977111117893"/>
        <bgColor indexed="64"/>
      </patternFill>
    </fill>
    <fill>
      <patternFill patternType="solid">
        <fgColor theme="4" tint="0.59999389629810485"/>
        <bgColor theme="6" tint="0.59999389629810485"/>
      </patternFill>
    </fill>
    <fill>
      <patternFill patternType="solid">
        <fgColor theme="4" tint="0.79998168889431442"/>
        <bgColor theme="4" tint="0.79998168889431442"/>
      </patternFill>
    </fill>
    <fill>
      <patternFill patternType="solid">
        <fgColor indexed="65"/>
        <bgColor indexed="64"/>
      </patternFill>
    </fill>
  </fills>
  <borders count="4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theme="0"/>
      </right>
      <top/>
      <bottom style="thin">
        <color theme="0"/>
      </bottom>
      <diagonal/>
    </border>
    <border>
      <left/>
      <right/>
      <top/>
      <bottom style="thin">
        <color theme="0"/>
      </bottom>
      <diagonal/>
    </border>
    <border>
      <left/>
      <right style="thin">
        <color theme="0"/>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diagonal/>
    </border>
    <border>
      <left/>
      <right/>
      <top style="thin">
        <color theme="0"/>
      </top>
      <bottom/>
      <diagonal/>
    </border>
    <border>
      <left style="thin">
        <color theme="0"/>
      </left>
      <right/>
      <top/>
      <bottom style="thin">
        <color theme="0"/>
      </bottom>
      <diagonal/>
    </border>
    <border>
      <left/>
      <right/>
      <top/>
      <bottom style="thick">
        <color theme="3" tint="-0.24994659260841701"/>
      </bottom>
      <diagonal/>
    </border>
    <border>
      <left/>
      <right/>
      <top style="thin">
        <color indexed="64"/>
      </top>
      <bottom style="thick">
        <color theme="3" tint="-0.24994659260841701"/>
      </bottom>
      <diagonal/>
    </border>
    <border>
      <left style="thin">
        <color indexed="64"/>
      </left>
      <right/>
      <top style="thick">
        <color theme="3" tint="-0.24994659260841701"/>
      </top>
      <bottom/>
      <diagonal/>
    </border>
    <border>
      <left/>
      <right/>
      <top style="thick">
        <color theme="3" tint="-0.24994659260841701"/>
      </top>
      <bottom/>
      <diagonal/>
    </border>
    <border>
      <left/>
      <right style="thin">
        <color indexed="64"/>
      </right>
      <top style="thick">
        <color theme="3" tint="-0.2499465926084170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n">
        <color theme="0"/>
      </left>
      <right style="thin">
        <color theme="0"/>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4"/>
      </right>
      <top style="thin">
        <color theme="4"/>
      </top>
      <bottom style="thin">
        <color theme="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bottom style="thin">
        <color theme="4" tint="0.39997558519241921"/>
      </bottom>
      <diagonal/>
    </border>
    <border>
      <left style="thin">
        <color theme="4"/>
      </left>
      <right style="thin">
        <color theme="4"/>
      </right>
      <top style="thin">
        <color theme="4"/>
      </top>
      <bottom style="thin">
        <color indexed="64"/>
      </bottom>
      <diagonal/>
    </border>
    <border>
      <left/>
      <right style="thin">
        <color theme="4"/>
      </right>
      <top style="thin">
        <color theme="4"/>
      </top>
      <bottom style="thin">
        <color indexed="64"/>
      </bottom>
      <diagonal/>
    </border>
    <border>
      <left style="thin">
        <color theme="4"/>
      </left>
      <right style="thin">
        <color theme="4"/>
      </right>
      <top/>
      <bottom style="thin">
        <color theme="4"/>
      </bottom>
      <diagonal/>
    </border>
    <border>
      <left/>
      <right style="thin">
        <color theme="4"/>
      </right>
      <top/>
      <bottom style="thin">
        <color theme="4"/>
      </bottom>
      <diagonal/>
    </border>
    <border>
      <left style="thin">
        <color theme="4"/>
      </left>
      <right style="thin">
        <color theme="4"/>
      </right>
      <top/>
      <bottom style="thick">
        <color theme="3" tint="-0.24994659260841701"/>
      </bottom>
      <diagonal/>
    </border>
    <border>
      <left/>
      <right style="thin">
        <color theme="4"/>
      </right>
      <top/>
      <bottom style="thick">
        <color theme="3" tint="-0.24994659260841701"/>
      </bottom>
      <diagonal/>
    </border>
    <border>
      <left style="thin">
        <color theme="4"/>
      </left>
      <right style="thin">
        <color theme="4"/>
      </right>
      <top/>
      <bottom style="thin">
        <color indexed="64"/>
      </bottom>
      <diagonal/>
    </border>
    <border>
      <left/>
      <right style="thin">
        <color theme="4"/>
      </right>
      <top/>
      <bottom style="thin">
        <color indexed="64"/>
      </bottom>
      <diagonal/>
    </border>
    <border>
      <left/>
      <right/>
      <top style="thin">
        <color theme="4"/>
      </top>
      <bottom/>
      <diagonal/>
    </border>
    <border>
      <left/>
      <right style="thin">
        <color theme="4"/>
      </right>
      <top style="thin">
        <color theme="4"/>
      </top>
      <bottom style="thin">
        <color theme="4"/>
      </bottom>
      <diagonal/>
    </border>
    <border>
      <left style="thin">
        <color theme="4"/>
      </left>
      <right style="thin">
        <color theme="4"/>
      </right>
      <top/>
      <bottom/>
      <diagonal/>
    </border>
    <border>
      <left/>
      <right style="thin">
        <color theme="4"/>
      </right>
      <top/>
      <bottom/>
      <diagonal/>
    </border>
    <border>
      <left/>
      <right/>
      <top style="thin">
        <color theme="4"/>
      </top>
      <bottom style="thin">
        <color indexed="64"/>
      </bottom>
      <diagonal/>
    </border>
    <border>
      <left/>
      <right style="thin">
        <color theme="0"/>
      </right>
      <top style="thin">
        <color theme="4"/>
      </top>
      <bottom style="thin">
        <color indexed="64"/>
      </bottom>
      <diagonal/>
    </border>
    <border>
      <left/>
      <right/>
      <top/>
      <bottom style="thin">
        <color theme="4" tint="0.39997558519241921"/>
      </bottom>
      <diagonal/>
    </border>
    <border>
      <left style="thin">
        <color theme="4" tint="0.39997558519241921"/>
      </left>
      <right/>
      <top/>
      <bottom/>
      <diagonal/>
    </border>
    <border>
      <left style="thin">
        <color theme="0"/>
      </left>
      <right/>
      <top style="thin">
        <color theme="4" tint="0.39997558519241921"/>
      </top>
      <bottom style="thin">
        <color theme="4"/>
      </bottom>
      <diagonal/>
    </border>
    <border>
      <left/>
      <right style="thin">
        <color theme="0"/>
      </right>
      <top style="thin">
        <color theme="4" tint="0.39997558519241921"/>
      </top>
      <bottom style="thin">
        <color theme="4"/>
      </bottom>
      <diagonal/>
    </border>
    <border>
      <left style="thin">
        <color theme="4"/>
      </left>
      <right style="thin">
        <color theme="4"/>
      </right>
      <top/>
      <bottom style="thick">
        <color theme="4" tint="-0.24994659260841701"/>
      </bottom>
      <diagonal/>
    </border>
    <border>
      <left/>
      <right style="thin">
        <color theme="4"/>
      </right>
      <top/>
      <bottom style="thick">
        <color theme="4" tint="-0.24994659260841701"/>
      </bottom>
      <diagonal/>
    </border>
    <border>
      <left style="thick">
        <color theme="3"/>
      </left>
      <right style="thick">
        <color theme="3"/>
      </right>
      <top style="thick">
        <color theme="3"/>
      </top>
      <bottom style="thick">
        <color theme="3"/>
      </bottom>
      <diagonal/>
    </border>
    <border>
      <left style="thin">
        <color theme="4"/>
      </left>
      <right style="thin">
        <color theme="4"/>
      </right>
      <top/>
      <bottom style="medium">
        <color indexed="64"/>
      </bottom>
      <diagonal/>
    </border>
    <border>
      <left/>
      <right style="thin">
        <color theme="4"/>
      </right>
      <top/>
      <bottom style="medium">
        <color indexed="64"/>
      </bottom>
      <diagonal/>
    </border>
  </borders>
  <cellStyleXfs count="41">
    <xf numFmtId="0" fontId="0" fillId="0" borderId="0"/>
    <xf numFmtId="43" fontId="1" fillId="0" borderId="0" applyFont="0" applyFill="0" applyBorder="0" applyAlignment="0" applyProtection="0"/>
    <xf numFmtId="0" fontId="2" fillId="0" borderId="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6" fillId="0" borderId="0" applyNumberFormat="0" applyFill="0" applyBorder="0" applyAlignment="0" applyProtection="0">
      <alignment vertical="top"/>
      <protection locked="0"/>
    </xf>
    <xf numFmtId="0" fontId="24" fillId="0" borderId="0"/>
    <xf numFmtId="0" fontId="1" fillId="0" borderId="0"/>
    <xf numFmtId="169" fontId="32" fillId="0" borderId="0"/>
    <xf numFmtId="41" fontId="2" fillId="0" borderId="0" applyFont="0" applyFill="0" applyBorder="0" applyAlignment="0" applyProtection="0"/>
    <xf numFmtId="41"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cellStyleXfs>
  <cellXfs count="537">
    <xf numFmtId="0" fontId="0" fillId="0" borderId="0" xfId="0"/>
    <xf numFmtId="0" fontId="5" fillId="0" borderId="0" xfId="0" applyFont="1"/>
    <xf numFmtId="164" fontId="4" fillId="0" borderId="0" xfId="0" applyNumberFormat="1" applyFont="1" applyFill="1" applyBorder="1" applyAlignment="1">
      <alignment horizontal="center"/>
    </xf>
    <xf numFmtId="0" fontId="5" fillId="0" borderId="0" xfId="0" applyFont="1" applyFill="1" applyBorder="1"/>
    <xf numFmtId="168" fontId="5" fillId="0" borderId="0" xfId="13" applyNumberFormat="1" applyFont="1" applyFill="1" applyBorder="1"/>
    <xf numFmtId="168" fontId="5" fillId="0" borderId="0" xfId="16" applyNumberFormat="1" applyFont="1" applyFill="1" applyBorder="1"/>
    <xf numFmtId="0" fontId="5" fillId="0" borderId="0" xfId="16" applyFont="1" applyFill="1" applyBorder="1" applyAlignment="1">
      <alignment horizontal="left"/>
    </xf>
    <xf numFmtId="43" fontId="5" fillId="0" borderId="0" xfId="1" applyFont="1" applyFill="1" applyBorder="1" applyAlignment="1">
      <alignment horizontal="center"/>
    </xf>
    <xf numFmtId="43" fontId="5" fillId="0" borderId="0" xfId="1" applyFont="1" applyFill="1" applyBorder="1"/>
    <xf numFmtId="0" fontId="7" fillId="6" borderId="0" xfId="0" applyFont="1" applyFill="1"/>
    <xf numFmtId="0" fontId="8" fillId="0" borderId="0" xfId="0" applyFont="1" applyAlignment="1">
      <alignment horizontal="center"/>
    </xf>
    <xf numFmtId="0" fontId="8" fillId="0" borderId="0" xfId="0" applyFont="1"/>
    <xf numFmtId="0" fontId="9" fillId="0" borderId="0" xfId="0" applyFont="1"/>
    <xf numFmtId="0" fontId="9" fillId="0" borderId="0" xfId="0" applyFont="1" applyAlignment="1">
      <alignment horizontal="left"/>
    </xf>
    <xf numFmtId="0" fontId="10" fillId="0" borderId="0" xfId="17" applyFont="1" applyAlignment="1" applyProtection="1"/>
    <xf numFmtId="0" fontId="11" fillId="0" borderId="0" xfId="0" applyFont="1"/>
    <xf numFmtId="43" fontId="11" fillId="0" borderId="0" xfId="1" applyNumberFormat="1" applyFont="1"/>
    <xf numFmtId="0" fontId="11" fillId="0" borderId="0" xfId="0" applyFont="1" applyFill="1"/>
    <xf numFmtId="0" fontId="12" fillId="0" borderId="0" xfId="0" applyFont="1" applyFill="1" applyAlignment="1">
      <alignment horizontal="centerContinuous"/>
    </xf>
    <xf numFmtId="43" fontId="12" fillId="0" borderId="0" xfId="1" applyNumberFormat="1" applyFont="1" applyFill="1" applyAlignment="1">
      <alignment horizontal="centerContinuous"/>
    </xf>
    <xf numFmtId="0" fontId="12" fillId="0" borderId="0" xfId="0" applyFont="1" applyAlignment="1">
      <alignment horizontal="centerContinuous"/>
    </xf>
    <xf numFmtId="43" fontId="12" fillId="0" borderId="0" xfId="1" applyNumberFormat="1" applyFont="1" applyAlignment="1">
      <alignment horizontal="centerContinuous"/>
    </xf>
    <xf numFmtId="0" fontId="12" fillId="0" borderId="0" xfId="0" applyFont="1" applyBorder="1" applyAlignment="1">
      <alignment horizontal="centerContinuous"/>
    </xf>
    <xf numFmtId="43" fontId="12" fillId="0" borderId="0" xfId="1" applyNumberFormat="1" applyFont="1" applyBorder="1" applyAlignment="1">
      <alignment horizontal="centerContinuous"/>
    </xf>
    <xf numFmtId="0" fontId="11" fillId="0" borderId="0" xfId="0" applyFont="1" applyFill="1" applyBorder="1"/>
    <xf numFmtId="43" fontId="11" fillId="0" borderId="0" xfId="1" applyFont="1" applyFill="1"/>
    <xf numFmtId="43" fontId="11" fillId="0" borderId="0" xfId="1" applyNumberFormat="1" applyFont="1" applyFill="1"/>
    <xf numFmtId="0" fontId="12" fillId="0" borderId="0" xfId="0" applyFont="1" applyFill="1"/>
    <xf numFmtId="43" fontId="12" fillId="0" borderId="0" xfId="1" applyFont="1" applyFill="1"/>
    <xf numFmtId="43" fontId="12" fillId="0" borderId="0" xfId="1" applyNumberFormat="1" applyFont="1" applyFill="1"/>
    <xf numFmtId="9" fontId="11" fillId="0" borderId="0" xfId="3" applyFont="1" applyFill="1"/>
    <xf numFmtId="43" fontId="11" fillId="0" borderId="0" xfId="0" applyNumberFormat="1" applyFont="1"/>
    <xf numFmtId="43" fontId="11" fillId="0" borderId="0" xfId="1" applyFont="1"/>
    <xf numFmtId="43" fontId="12" fillId="0" borderId="0" xfId="1" applyFont="1" applyAlignment="1">
      <alignment horizontal="centerContinuous"/>
    </xf>
    <xf numFmtId="43" fontId="12" fillId="0" borderId="0" xfId="1" applyFont="1" applyBorder="1" applyAlignment="1">
      <alignment horizontal="centerContinuous"/>
    </xf>
    <xf numFmtId="0" fontId="11" fillId="0" borderId="0" xfId="0" applyFont="1" applyFill="1" applyBorder="1" applyAlignment="1">
      <alignment horizontal="centerContinuous"/>
    </xf>
    <xf numFmtId="0" fontId="12" fillId="0" borderId="0" xfId="0" applyFont="1" applyFill="1" applyBorder="1" applyAlignment="1">
      <alignment horizontal="centerContinuous"/>
    </xf>
    <xf numFmtId="164" fontId="12" fillId="0" borderId="0" xfId="0" applyNumberFormat="1" applyFont="1" applyFill="1" applyBorder="1" applyAlignment="1">
      <alignment horizontal="center"/>
    </xf>
    <xf numFmtId="43" fontId="11" fillId="0" borderId="0" xfId="1" applyFont="1" applyFill="1" applyBorder="1" applyAlignment="1">
      <alignment horizontal="center"/>
    </xf>
    <xf numFmtId="37" fontId="11" fillId="0" borderId="0" xfId="9" applyNumberFormat="1" applyFont="1" applyFill="1" applyBorder="1" applyAlignment="1">
      <alignment horizontal="left"/>
    </xf>
    <xf numFmtId="168" fontId="11" fillId="0" borderId="0" xfId="13" applyNumberFormat="1" applyFont="1" applyFill="1" applyBorder="1"/>
    <xf numFmtId="168" fontId="11" fillId="0" borderId="0" xfId="16" applyNumberFormat="1" applyFont="1" applyFill="1" applyBorder="1"/>
    <xf numFmtId="167" fontId="11" fillId="0" borderId="9" xfId="0" applyNumberFormat="1" applyFont="1" applyFill="1" applyBorder="1"/>
    <xf numFmtId="167" fontId="11" fillId="0" borderId="6" xfId="0" applyNumberFormat="1" applyFont="1" applyFill="1" applyBorder="1"/>
    <xf numFmtId="43" fontId="11" fillId="0" borderId="0" xfId="1" applyFont="1" applyFill="1" applyBorder="1"/>
    <xf numFmtId="167" fontId="11" fillId="0" borderId="0" xfId="0" applyNumberFormat="1" applyFont="1" applyFill="1" applyBorder="1"/>
    <xf numFmtId="43" fontId="11" fillId="0" borderId="0" xfId="0" applyNumberFormat="1" applyFont="1" applyFill="1" applyBorder="1"/>
    <xf numFmtId="167" fontId="11" fillId="0" borderId="0" xfId="1" applyNumberFormat="1" applyFont="1" applyFill="1" applyBorder="1" applyAlignment="1">
      <alignment horizontal="center"/>
    </xf>
    <xf numFmtId="0" fontId="11" fillId="0" borderId="9" xfId="16" applyFont="1" applyFill="1" applyBorder="1" applyAlignment="1">
      <alignment horizontal="left"/>
    </xf>
    <xf numFmtId="37" fontId="11" fillId="0" borderId="6" xfId="9" applyNumberFormat="1" applyFont="1" applyFill="1" applyBorder="1" applyAlignment="1">
      <alignment horizontal="center"/>
    </xf>
    <xf numFmtId="167" fontId="11" fillId="0" borderId="0" xfId="9" applyNumberFormat="1" applyFont="1" applyFill="1" applyBorder="1" applyAlignment="1">
      <alignment horizontal="center"/>
    </xf>
    <xf numFmtId="0" fontId="11" fillId="0" borderId="0" xfId="16" applyFont="1" applyFill="1" applyBorder="1" applyAlignment="1">
      <alignment horizontal="left"/>
    </xf>
    <xf numFmtId="37" fontId="11" fillId="0" borderId="0" xfId="9" applyNumberFormat="1" applyFont="1" applyFill="1" applyBorder="1" applyAlignment="1">
      <alignment horizontal="center"/>
    </xf>
    <xf numFmtId="0" fontId="12" fillId="0" borderId="0" xfId="2" applyFont="1" applyFill="1" applyBorder="1"/>
    <xf numFmtId="0" fontId="11" fillId="0" borderId="0" xfId="2" applyFont="1" applyFill="1" applyBorder="1"/>
    <xf numFmtId="0" fontId="11" fillId="0" borderId="0" xfId="16" applyFont="1" applyFill="1" applyBorder="1"/>
    <xf numFmtId="43" fontId="11" fillId="0" borderId="0" xfId="16" applyNumberFormat="1" applyFont="1" applyFill="1" applyBorder="1"/>
    <xf numFmtId="0" fontId="12" fillId="0" borderId="0" xfId="16" applyFont="1" applyFill="1" applyBorder="1"/>
    <xf numFmtId="43" fontId="12" fillId="0" borderId="0" xfId="16" applyNumberFormat="1" applyFont="1" applyFill="1" applyBorder="1"/>
    <xf numFmtId="168" fontId="12" fillId="0" borderId="0" xfId="16" applyNumberFormat="1" applyFont="1" applyFill="1" applyBorder="1"/>
    <xf numFmtId="167" fontId="12" fillId="0" borderId="0" xfId="16" applyNumberFormat="1" applyFont="1" applyFill="1" applyBorder="1"/>
    <xf numFmtId="0" fontId="13" fillId="0" borderId="0" xfId="0" applyFont="1"/>
    <xf numFmtId="37" fontId="14" fillId="0" borderId="0" xfId="9" applyNumberFormat="1" applyFont="1" applyFill="1" applyBorder="1" applyAlignment="1">
      <alignment horizontal="left"/>
    </xf>
    <xf numFmtId="37" fontId="12" fillId="0" borderId="10" xfId="16" applyNumberFormat="1" applyFont="1" applyFill="1" applyBorder="1" applyAlignment="1">
      <alignment horizontal="center"/>
    </xf>
    <xf numFmtId="0" fontId="12" fillId="0" borderId="10" xfId="16" applyFont="1" applyFill="1" applyBorder="1" applyAlignment="1">
      <alignment horizontal="left"/>
    </xf>
    <xf numFmtId="168" fontId="12" fillId="0" borderId="10" xfId="13" applyNumberFormat="1" applyFont="1" applyFill="1" applyBorder="1"/>
    <xf numFmtId="168" fontId="12" fillId="0" borderId="10" xfId="16" applyNumberFormat="1" applyFont="1" applyFill="1" applyBorder="1"/>
    <xf numFmtId="0" fontId="12" fillId="0" borderId="10" xfId="16" applyFont="1" applyFill="1" applyBorder="1" applyAlignment="1">
      <alignment horizontal="center"/>
    </xf>
    <xf numFmtId="37" fontId="12" fillId="0" borderId="11" xfId="16" applyNumberFormat="1" applyFont="1" applyFill="1" applyBorder="1" applyAlignment="1">
      <alignment horizontal="center"/>
    </xf>
    <xf numFmtId="0" fontId="11" fillId="0" borderId="0" xfId="2" applyFont="1" applyBorder="1"/>
    <xf numFmtId="168" fontId="11" fillId="0" borderId="0" xfId="7" applyNumberFormat="1" applyFont="1" applyBorder="1"/>
    <xf numFmtId="0" fontId="12" fillId="0" borderId="0" xfId="2" applyFont="1" applyBorder="1" applyAlignment="1">
      <alignment horizontal="centerContinuous"/>
    </xf>
    <xf numFmtId="168" fontId="11" fillId="0" borderId="0" xfId="7" applyNumberFormat="1" applyFont="1" applyBorder="1" applyAlignment="1">
      <alignment horizontal="centerContinuous"/>
    </xf>
    <xf numFmtId="0" fontId="11" fillId="0" borderId="0" xfId="0" applyFont="1" applyAlignment="1">
      <alignment horizontal="centerContinuous"/>
    </xf>
    <xf numFmtId="168" fontId="12" fillId="0" borderId="0" xfId="7" applyNumberFormat="1" applyFont="1" applyFill="1" applyBorder="1" applyAlignment="1">
      <alignment horizontal="center"/>
    </xf>
    <xf numFmtId="167" fontId="11" fillId="0" borderId="0" xfId="8" applyNumberFormat="1" applyFont="1" applyBorder="1"/>
    <xf numFmtId="167" fontId="12" fillId="0" borderId="0" xfId="8" applyNumberFormat="1" applyFont="1" applyBorder="1" applyAlignment="1">
      <alignment horizontal="center"/>
    </xf>
    <xf numFmtId="43" fontId="11" fillId="0" borderId="0" xfId="8" applyNumberFormat="1" applyFont="1" applyBorder="1"/>
    <xf numFmtId="166" fontId="12" fillId="0" borderId="0" xfId="8" applyNumberFormat="1" applyFont="1" applyBorder="1"/>
    <xf numFmtId="43" fontId="12" fillId="0" borderId="0" xfId="8" applyNumberFormat="1" applyFont="1" applyBorder="1"/>
    <xf numFmtId="168" fontId="12" fillId="0" borderId="0" xfId="7" applyNumberFormat="1" applyFont="1" applyBorder="1"/>
    <xf numFmtId="0" fontId="12" fillId="0" borderId="0" xfId="2" applyFont="1" applyBorder="1" applyAlignment="1"/>
    <xf numFmtId="49" fontId="12" fillId="0" borderId="0" xfId="8" applyNumberFormat="1" applyFont="1" applyBorder="1" applyAlignment="1"/>
    <xf numFmtId="0" fontId="12" fillId="0" borderId="0" xfId="2" applyFont="1" applyBorder="1"/>
    <xf numFmtId="164" fontId="12" fillId="0" borderId="0" xfId="2" applyNumberFormat="1" applyFont="1" applyFill="1" applyBorder="1" applyAlignment="1">
      <alignment horizontal="left"/>
    </xf>
    <xf numFmtId="164" fontId="12" fillId="0" borderId="0" xfId="2" applyNumberFormat="1" applyFont="1" applyFill="1" applyBorder="1" applyAlignment="1">
      <alignment horizontal="center"/>
    </xf>
    <xf numFmtId="0" fontId="11" fillId="0" borderId="0" xfId="0" applyFont="1" applyFill="1" applyBorder="1" applyAlignment="1">
      <alignment horizontal="left"/>
    </xf>
    <xf numFmtId="167" fontId="11" fillId="0" borderId="0" xfId="8" applyNumberFormat="1" applyFont="1" applyFill="1" applyBorder="1"/>
    <xf numFmtId="0" fontId="12" fillId="0" borderId="0" xfId="2" applyFont="1" applyBorder="1" applyAlignment="1">
      <alignment horizontal="center"/>
    </xf>
    <xf numFmtId="49" fontId="11" fillId="0" borderId="0" xfId="8" applyNumberFormat="1" applyFont="1" applyBorder="1" applyAlignment="1">
      <alignment horizontal="left"/>
    </xf>
    <xf numFmtId="43" fontId="11" fillId="0" borderId="0" xfId="1" applyFont="1" applyBorder="1"/>
    <xf numFmtId="43" fontId="11" fillId="0" borderId="0" xfId="2" applyNumberFormat="1" applyFont="1" applyBorder="1"/>
    <xf numFmtId="164" fontId="11" fillId="0" borderId="0" xfId="2" applyNumberFormat="1" applyFont="1" applyFill="1" applyBorder="1" applyAlignment="1">
      <alignment horizontal="left"/>
    </xf>
    <xf numFmtId="167" fontId="11" fillId="0" borderId="0" xfId="8" applyNumberFormat="1" applyFont="1" applyBorder="1" applyAlignment="1">
      <alignment horizontal="center"/>
    </xf>
    <xf numFmtId="0" fontId="12" fillId="0" borderId="0" xfId="2" applyFont="1" applyFill="1" applyBorder="1" applyAlignment="1">
      <alignment horizontal="left"/>
    </xf>
    <xf numFmtId="43" fontId="12" fillId="0" borderId="0" xfId="1" applyFont="1" applyFill="1" applyBorder="1"/>
    <xf numFmtId="167" fontId="12" fillId="0" borderId="0" xfId="8" applyNumberFormat="1" applyFont="1" applyFill="1" applyBorder="1"/>
    <xf numFmtId="167" fontId="12" fillId="0" borderId="0" xfId="8" applyNumberFormat="1" applyFont="1" applyBorder="1"/>
    <xf numFmtId="43" fontId="12" fillId="0" borderId="0" xfId="2" applyNumberFormat="1" applyFont="1" applyBorder="1"/>
    <xf numFmtId="43" fontId="12" fillId="0" borderId="0" xfId="8" applyFont="1" applyFill="1" applyBorder="1"/>
    <xf numFmtId="0" fontId="11" fillId="0" borderId="0" xfId="2" applyFont="1" applyFill="1" applyBorder="1" applyAlignment="1">
      <alignment horizontal="left"/>
    </xf>
    <xf numFmtId="168" fontId="11" fillId="0" borderId="0" xfId="7" applyNumberFormat="1" applyFont="1" applyFill="1" applyBorder="1"/>
    <xf numFmtId="0" fontId="11" fillId="0" borderId="0" xfId="0" applyFont="1" applyBorder="1"/>
    <xf numFmtId="43" fontId="12" fillId="0" borderId="0" xfId="1" applyFont="1" applyBorder="1"/>
    <xf numFmtId="0" fontId="13" fillId="0" borderId="8" xfId="2" applyFont="1" applyFill="1" applyBorder="1"/>
    <xf numFmtId="168" fontId="13" fillId="2" borderId="8" xfId="7" applyNumberFormat="1" applyFont="1" applyFill="1" applyBorder="1"/>
    <xf numFmtId="0" fontId="12" fillId="5" borderId="8" xfId="2" applyFont="1" applyFill="1" applyBorder="1"/>
    <xf numFmtId="0" fontId="12" fillId="4" borderId="8" xfId="2" applyFont="1" applyFill="1" applyBorder="1"/>
    <xf numFmtId="167" fontId="12" fillId="4" borderId="8" xfId="8" applyNumberFormat="1" applyFont="1" applyFill="1" applyBorder="1"/>
    <xf numFmtId="0" fontId="12" fillId="3" borderId="8" xfId="2" applyFont="1" applyFill="1" applyBorder="1"/>
    <xf numFmtId="167" fontId="12" fillId="3" borderId="8" xfId="8" applyNumberFormat="1" applyFont="1" applyFill="1" applyBorder="1"/>
    <xf numFmtId="167" fontId="11" fillId="0" borderId="0" xfId="2" applyNumberFormat="1" applyFont="1" applyBorder="1"/>
    <xf numFmtId="0" fontId="11" fillId="0" borderId="0" xfId="2" applyFont="1"/>
    <xf numFmtId="10" fontId="11" fillId="0" borderId="0" xfId="4" applyNumberFormat="1" applyFont="1"/>
    <xf numFmtId="0" fontId="12" fillId="0" borderId="0" xfId="2" applyFont="1"/>
    <xf numFmtId="0" fontId="11" fillId="0" borderId="0" xfId="2" applyFont="1" applyAlignment="1">
      <alignment horizontal="left"/>
    </xf>
    <xf numFmtId="0" fontId="12" fillId="7" borderId="2" xfId="2" applyFont="1" applyFill="1" applyBorder="1" applyAlignment="1">
      <alignment horizontal="center"/>
    </xf>
    <xf numFmtId="0" fontId="12" fillId="8" borderId="2" xfId="2" applyFont="1" applyFill="1" applyBorder="1" applyAlignment="1">
      <alignment horizontal="center"/>
    </xf>
    <xf numFmtId="0" fontId="12" fillId="9" borderId="2" xfId="2" applyFont="1" applyFill="1" applyBorder="1" applyAlignment="1">
      <alignment horizontal="center"/>
    </xf>
    <xf numFmtId="0" fontId="12" fillId="0" borderId="0" xfId="2" applyFont="1" applyFill="1" applyBorder="1" applyAlignment="1">
      <alignment horizontal="center"/>
    </xf>
    <xf numFmtId="0" fontId="11" fillId="0" borderId="0" xfId="2" applyFont="1" applyFill="1" applyBorder="1" applyAlignment="1">
      <alignment horizontal="center"/>
    </xf>
    <xf numFmtId="0" fontId="11" fillId="0" borderId="2" xfId="2" applyFont="1" applyBorder="1" applyAlignment="1">
      <alignment horizontal="center"/>
    </xf>
    <xf numFmtId="9" fontId="11" fillId="0" borderId="0" xfId="5" applyFont="1"/>
    <xf numFmtId="10" fontId="12" fillId="0" borderId="0" xfId="4" applyNumberFormat="1" applyFont="1"/>
    <xf numFmtId="10" fontId="11" fillId="0" borderId="0" xfId="4" applyNumberFormat="1" applyFont="1" applyFill="1" applyBorder="1"/>
    <xf numFmtId="9" fontId="11" fillId="0" borderId="0" xfId="4" applyFont="1" applyFill="1" applyBorder="1"/>
    <xf numFmtId="43" fontId="11" fillId="0" borderId="0" xfId="6" applyFont="1" applyFill="1" applyBorder="1"/>
    <xf numFmtId="0" fontId="12" fillId="0" borderId="0" xfId="2" applyFont="1" applyFill="1" applyBorder="1" applyAlignment="1">
      <alignment horizontal="centerContinuous" vertical="center" wrapText="1"/>
    </xf>
    <xf numFmtId="43" fontId="11" fillId="0" borderId="0" xfId="6" applyFont="1" applyFill="1" applyBorder="1" applyAlignment="1">
      <alignment horizontal="centerContinuous"/>
    </xf>
    <xf numFmtId="9" fontId="11" fillId="0" borderId="0" xfId="4" applyFont="1" applyFill="1" applyBorder="1" applyAlignment="1">
      <alignment horizontal="centerContinuous"/>
    </xf>
    <xf numFmtId="0" fontId="11" fillId="0" borderId="0" xfId="2" applyFont="1" applyFill="1" applyBorder="1" applyAlignment="1">
      <alignment horizontal="centerContinuous"/>
    </xf>
    <xf numFmtId="0" fontId="12" fillId="0" borderId="0" xfId="2" applyFont="1" applyFill="1" applyBorder="1" applyAlignment="1">
      <alignment horizontal="centerContinuous"/>
    </xf>
    <xf numFmtId="9" fontId="12" fillId="0" borderId="0" xfId="4" applyFont="1" applyFill="1" applyBorder="1" applyAlignment="1">
      <alignment horizontal="centerContinuous"/>
    </xf>
    <xf numFmtId="9" fontId="12" fillId="0" borderId="0" xfId="4" applyFont="1" applyFill="1" applyBorder="1"/>
    <xf numFmtId="43" fontId="11" fillId="0" borderId="0" xfId="1" applyFont="1" applyFill="1" applyBorder="1" applyAlignment="1">
      <alignment horizontal="right"/>
    </xf>
    <xf numFmtId="167" fontId="12" fillId="0" borderId="0" xfId="6" applyNumberFormat="1" applyFont="1" applyFill="1" applyBorder="1"/>
    <xf numFmtId="9" fontId="11" fillId="0" borderId="0" xfId="3" applyFont="1" applyFill="1" applyBorder="1"/>
    <xf numFmtId="9" fontId="11" fillId="0" borderId="0" xfId="2" applyNumberFormat="1" applyFont="1" applyFill="1" applyBorder="1"/>
    <xf numFmtId="0" fontId="11" fillId="0" borderId="0" xfId="0" applyFont="1" applyAlignment="1">
      <alignment horizontal="left"/>
    </xf>
    <xf numFmtId="164" fontId="11" fillId="0" borderId="0" xfId="2" applyNumberFormat="1" applyFont="1" applyFill="1" applyBorder="1"/>
    <xf numFmtId="43" fontId="12" fillId="0" borderId="0" xfId="1" applyFont="1" applyFill="1" applyAlignment="1">
      <alignment horizontal="centerContinuous"/>
    </xf>
    <xf numFmtId="43" fontId="12" fillId="0" borderId="0" xfId="0" applyNumberFormat="1" applyFont="1" applyBorder="1" applyAlignment="1">
      <alignment horizontal="centerContinuous"/>
    </xf>
    <xf numFmtId="9" fontId="12" fillId="0" borderId="0" xfId="3" applyFont="1" applyFill="1"/>
    <xf numFmtId="43" fontId="11" fillId="0" borderId="0" xfId="3" applyNumberFormat="1" applyFont="1" applyFill="1"/>
    <xf numFmtId="43" fontId="11" fillId="0" borderId="1" xfId="1" applyNumberFormat="1" applyFont="1" applyFill="1" applyBorder="1"/>
    <xf numFmtId="43" fontId="11" fillId="0" borderId="0" xfId="1" applyNumberFormat="1" applyFont="1" applyFill="1" applyBorder="1"/>
    <xf numFmtId="0" fontId="5" fillId="0" borderId="0" xfId="2" applyFont="1"/>
    <xf numFmtId="0" fontId="15" fillId="0" borderId="0" xfId="0" applyFont="1"/>
    <xf numFmtId="0" fontId="4" fillId="10" borderId="1" xfId="0" applyFont="1" applyFill="1" applyBorder="1"/>
    <xf numFmtId="164" fontId="4" fillId="10" borderId="1" xfId="0" applyNumberFormat="1" applyFont="1" applyFill="1" applyBorder="1" applyAlignment="1">
      <alignment horizontal="center"/>
    </xf>
    <xf numFmtId="164" fontId="4" fillId="10" borderId="0" xfId="0" applyNumberFormat="1" applyFont="1" applyFill="1" applyBorder="1" applyAlignment="1">
      <alignment horizontal="center"/>
    </xf>
    <xf numFmtId="43" fontId="5" fillId="10" borderId="0" xfId="6" applyFont="1" applyFill="1" applyBorder="1"/>
    <xf numFmtId="164" fontId="4" fillId="10" borderId="0" xfId="2" applyNumberFormat="1" applyFont="1" applyFill="1" applyBorder="1" applyAlignment="1">
      <alignment horizontal="center"/>
    </xf>
    <xf numFmtId="9" fontId="4" fillId="10" borderId="0" xfId="4" applyFont="1" applyFill="1" applyBorder="1" applyAlignment="1">
      <alignment horizontal="center"/>
    </xf>
    <xf numFmtId="0" fontId="11" fillId="0" borderId="13" xfId="2" applyFont="1" applyFill="1" applyBorder="1"/>
    <xf numFmtId="43" fontId="11" fillId="0" borderId="13" xfId="1" applyFont="1" applyFill="1" applyBorder="1"/>
    <xf numFmtId="9" fontId="11" fillId="0" borderId="13" xfId="4" applyFont="1" applyFill="1" applyBorder="1"/>
    <xf numFmtId="0" fontId="11" fillId="0" borderId="13" xfId="0" applyFont="1" applyFill="1" applyBorder="1"/>
    <xf numFmtId="43" fontId="11" fillId="0" borderId="13" xfId="1" applyNumberFormat="1" applyFont="1" applyFill="1" applyBorder="1"/>
    <xf numFmtId="0" fontId="11" fillId="0" borderId="13" xfId="0" applyFont="1" applyFill="1" applyBorder="1" applyAlignment="1">
      <alignment horizontal="left"/>
    </xf>
    <xf numFmtId="9" fontId="11" fillId="0" borderId="13" xfId="3" applyFont="1" applyFill="1" applyBorder="1"/>
    <xf numFmtId="0" fontId="4" fillId="10" borderId="0" xfId="2" applyFont="1" applyFill="1" applyBorder="1" applyAlignment="1">
      <alignment horizontal="left"/>
    </xf>
    <xf numFmtId="168" fontId="4" fillId="10" borderId="0" xfId="7" applyNumberFormat="1" applyFont="1" applyFill="1" applyBorder="1" applyAlignment="1">
      <alignment horizontal="center"/>
    </xf>
    <xf numFmtId="164" fontId="4" fillId="10" borderId="0" xfId="2" applyNumberFormat="1" applyFont="1" applyFill="1" applyBorder="1" applyAlignment="1">
      <alignment horizontal="left"/>
    </xf>
    <xf numFmtId="43" fontId="4" fillId="10" borderId="0" xfId="2" applyNumberFormat="1" applyFont="1" applyFill="1" applyBorder="1"/>
    <xf numFmtId="0" fontId="12" fillId="12" borderId="9" xfId="2" applyFont="1" applyFill="1" applyBorder="1" applyAlignment="1">
      <alignment horizontal="center"/>
    </xf>
    <xf numFmtId="0" fontId="12" fillId="12" borderId="6" xfId="2" applyFont="1" applyFill="1" applyBorder="1"/>
    <xf numFmtId="43" fontId="4" fillId="11" borderId="0" xfId="2" applyNumberFormat="1" applyFont="1" applyFill="1" applyBorder="1"/>
    <xf numFmtId="0" fontId="4" fillId="11" borderId="0" xfId="2" applyFont="1" applyFill="1" applyBorder="1" applyAlignment="1">
      <alignment horizontal="center"/>
    </xf>
    <xf numFmtId="168" fontId="11" fillId="0" borderId="13" xfId="7" applyNumberFormat="1" applyFont="1" applyBorder="1"/>
    <xf numFmtId="0" fontId="12" fillId="0" borderId="13" xfId="2" applyFont="1" applyBorder="1"/>
    <xf numFmtId="168" fontId="12" fillId="0" borderId="13" xfId="7" applyNumberFormat="1" applyFont="1" applyBorder="1"/>
    <xf numFmtId="167" fontId="11" fillId="0" borderId="13" xfId="8" applyNumberFormat="1" applyFont="1" applyFill="1" applyBorder="1"/>
    <xf numFmtId="164" fontId="4" fillId="10" borderId="0" xfId="2" applyNumberFormat="1" applyFont="1" applyFill="1" applyBorder="1" applyAlignment="1">
      <alignment horizontal="centerContinuous"/>
    </xf>
    <xf numFmtId="0" fontId="5" fillId="10" borderId="0" xfId="2" applyFont="1" applyFill="1" applyBorder="1" applyAlignment="1">
      <alignment horizontal="centerContinuous"/>
    </xf>
    <xf numFmtId="168" fontId="4" fillId="10" borderId="0" xfId="7" applyNumberFormat="1" applyFont="1" applyFill="1" applyBorder="1" applyAlignment="1">
      <alignment horizontal="centerContinuous"/>
    </xf>
    <xf numFmtId="166" fontId="11" fillId="0" borderId="0" xfId="8" applyNumberFormat="1" applyFont="1" applyBorder="1"/>
    <xf numFmtId="0" fontId="12" fillId="0" borderId="15" xfId="2" applyFont="1" applyBorder="1"/>
    <xf numFmtId="166" fontId="12" fillId="0" borderId="16" xfId="8" applyNumberFormat="1" applyFont="1" applyBorder="1"/>
    <xf numFmtId="43" fontId="12" fillId="0" borderId="16" xfId="8" applyNumberFormat="1" applyFont="1" applyBorder="1"/>
    <xf numFmtId="168" fontId="12" fillId="0" borderId="16" xfId="7" applyNumberFormat="1" applyFont="1" applyBorder="1"/>
    <xf numFmtId="168" fontId="12" fillId="0" borderId="17" xfId="7" applyNumberFormat="1" applyFont="1" applyBorder="1"/>
    <xf numFmtId="166" fontId="12" fillId="0" borderId="13" xfId="8" applyNumberFormat="1" applyFont="1" applyBorder="1"/>
    <xf numFmtId="43" fontId="12" fillId="0" borderId="13" xfId="8" applyNumberFormat="1" applyFont="1" applyBorder="1"/>
    <xf numFmtId="43" fontId="11" fillId="0" borderId="0" xfId="8" applyNumberFormat="1" applyFont="1" applyFill="1" applyBorder="1" applyAlignment="1">
      <alignment horizontal="center"/>
    </xf>
    <xf numFmtId="168" fontId="11" fillId="0" borderId="0" xfId="7" applyNumberFormat="1" applyFont="1" applyFill="1" applyBorder="1" applyAlignment="1">
      <alignment horizontal="center"/>
    </xf>
    <xf numFmtId="0" fontId="11" fillId="0" borderId="16" xfId="2" applyFont="1" applyBorder="1"/>
    <xf numFmtId="167" fontId="11" fillId="0" borderId="16" xfId="8" applyNumberFormat="1" applyFont="1" applyBorder="1"/>
    <xf numFmtId="168" fontId="11" fillId="0" borderId="16" xfId="7" applyNumberFormat="1" applyFont="1" applyBorder="1"/>
    <xf numFmtId="166" fontId="11" fillId="0" borderId="13" xfId="8" applyNumberFormat="1" applyFont="1" applyBorder="1"/>
    <xf numFmtId="43" fontId="11" fillId="0" borderId="13" xfId="8" applyNumberFormat="1" applyFont="1" applyBorder="1"/>
    <xf numFmtId="0" fontId="4" fillId="11" borderId="1" xfId="0" applyFont="1" applyFill="1" applyBorder="1"/>
    <xf numFmtId="164" fontId="4" fillId="11" borderId="1" xfId="0" applyNumberFormat="1" applyFont="1" applyFill="1" applyBorder="1" applyAlignment="1">
      <alignment horizontal="center"/>
    </xf>
    <xf numFmtId="43" fontId="5" fillId="11" borderId="0" xfId="0" applyNumberFormat="1" applyFont="1" applyFill="1"/>
    <xf numFmtId="43" fontId="11" fillId="0" borderId="13" xfId="1" applyFont="1" applyFill="1" applyBorder="1" applyAlignment="1">
      <alignment horizontal="center"/>
    </xf>
    <xf numFmtId="37" fontId="11" fillId="0" borderId="13" xfId="9" applyNumberFormat="1" applyFont="1" applyFill="1" applyBorder="1" applyAlignment="1">
      <alignment horizontal="left"/>
    </xf>
    <xf numFmtId="168" fontId="11" fillId="0" borderId="13" xfId="13" applyNumberFormat="1" applyFont="1" applyFill="1" applyBorder="1"/>
    <xf numFmtId="168" fontId="11" fillId="0" borderId="13" xfId="16" applyNumberFormat="1" applyFont="1" applyFill="1" applyBorder="1"/>
    <xf numFmtId="0" fontId="16" fillId="0" borderId="0" xfId="0" applyFont="1"/>
    <xf numFmtId="0" fontId="4" fillId="10" borderId="2" xfId="2" applyFont="1" applyFill="1" applyBorder="1" applyAlignment="1">
      <alignment horizontal="center"/>
    </xf>
    <xf numFmtId="43" fontId="0" fillId="0" borderId="0" xfId="1" applyFont="1"/>
    <xf numFmtId="43" fontId="17" fillId="0" borderId="0" xfId="1" applyFont="1"/>
    <xf numFmtId="164" fontId="0" fillId="0" borderId="0" xfId="1" applyNumberFormat="1" applyFont="1"/>
    <xf numFmtId="43" fontId="0" fillId="0" borderId="0" xfId="1" applyFont="1" applyFill="1"/>
    <xf numFmtId="164" fontId="0" fillId="0" borderId="18" xfId="1" applyNumberFormat="1" applyFont="1" applyFill="1" applyBorder="1"/>
    <xf numFmtId="43" fontId="0" fillId="0" borderId="0" xfId="1" applyFont="1" applyFill="1" applyBorder="1"/>
    <xf numFmtId="164" fontId="0" fillId="0" borderId="0" xfId="1" applyNumberFormat="1" applyFont="1" applyFill="1" applyBorder="1"/>
    <xf numFmtId="43" fontId="0" fillId="13" borderId="19" xfId="1" applyNumberFormat="1" applyFont="1" applyFill="1" applyBorder="1"/>
    <xf numFmtId="164" fontId="0" fillId="0" borderId="20" xfId="1" applyNumberFormat="1" applyFont="1" applyFill="1" applyBorder="1"/>
    <xf numFmtId="43" fontId="0" fillId="0" borderId="0" xfId="1" applyFont="1" applyBorder="1"/>
    <xf numFmtId="0" fontId="12" fillId="12" borderId="21" xfId="2" applyFont="1" applyFill="1" applyBorder="1" applyAlignment="1">
      <alignment horizontal="center"/>
    </xf>
    <xf numFmtId="0" fontId="12" fillId="12" borderId="22" xfId="2" applyFont="1" applyFill="1" applyBorder="1"/>
    <xf numFmtId="164" fontId="4" fillId="10" borderId="23" xfId="2" applyNumberFormat="1" applyFont="1" applyFill="1" applyBorder="1" applyAlignment="1">
      <alignment horizontal="left"/>
    </xf>
    <xf numFmtId="43" fontId="4" fillId="11" borderId="23" xfId="2" applyNumberFormat="1" applyFont="1" applyFill="1" applyBorder="1"/>
    <xf numFmtId="9" fontId="12" fillId="0" borderId="0" xfId="3" applyFont="1" applyFill="1" applyBorder="1"/>
    <xf numFmtId="9" fontId="11" fillId="0" borderId="0" xfId="2" applyNumberFormat="1" applyFont="1" applyFill="1" applyBorder="1" applyAlignment="1">
      <alignment horizontal="center"/>
    </xf>
    <xf numFmtId="0" fontId="18" fillId="0" borderId="0" xfId="0" applyFont="1" applyBorder="1"/>
    <xf numFmtId="0" fontId="18" fillId="0" borderId="0" xfId="0" applyFont="1" applyFill="1" applyBorder="1" applyAlignment="1">
      <alignment horizontal="left"/>
    </xf>
    <xf numFmtId="0" fontId="20" fillId="0" borderId="0" xfId="0" applyFont="1"/>
    <xf numFmtId="0" fontId="19" fillId="0" borderId="0" xfId="0" applyFont="1" applyAlignment="1">
      <alignment readingOrder="1"/>
    </xf>
    <xf numFmtId="0" fontId="20" fillId="0" borderId="0" xfId="0" applyFont="1" applyAlignment="1">
      <alignment readingOrder="1"/>
    </xf>
    <xf numFmtId="0" fontId="21" fillId="0" borderId="0" xfId="17" applyFont="1" applyAlignment="1" applyProtection="1"/>
    <xf numFmtId="0" fontId="20" fillId="0" borderId="0" xfId="0" applyFont="1" applyBorder="1"/>
    <xf numFmtId="0" fontId="20" fillId="0" borderId="0" xfId="0" applyFont="1" applyBorder="1" applyAlignment="1">
      <alignment horizontal="left"/>
    </xf>
    <xf numFmtId="0" fontId="20" fillId="0" borderId="0" xfId="0" applyFont="1" applyFill="1" applyBorder="1" applyAlignment="1">
      <alignment horizontal="left"/>
    </xf>
    <xf numFmtId="0" fontId="11" fillId="0" borderId="0" xfId="0" applyFont="1" applyAlignment="1">
      <alignment horizontal="left" indent="2"/>
    </xf>
    <xf numFmtId="0" fontId="9" fillId="0" borderId="0" xfId="0" applyFont="1" applyFill="1"/>
    <xf numFmtId="43" fontId="11" fillId="0" borderId="2" xfId="1" applyFont="1" applyFill="1" applyBorder="1" applyAlignment="1">
      <alignment horizontal="center"/>
    </xf>
    <xf numFmtId="0" fontId="22" fillId="0" borderId="0" xfId="2" applyFont="1" applyBorder="1"/>
    <xf numFmtId="43" fontId="22" fillId="0" borderId="0" xfId="1" applyFont="1" applyFill="1" applyBorder="1"/>
    <xf numFmtId="43" fontId="22" fillId="0" borderId="0" xfId="1" applyFont="1" applyBorder="1"/>
    <xf numFmtId="167" fontId="22" fillId="0" borderId="0" xfId="1" applyNumberFormat="1" applyFont="1" applyFill="1" applyBorder="1"/>
    <xf numFmtId="37" fontId="22" fillId="0" borderId="0" xfId="6" applyNumberFormat="1" applyFont="1" applyFill="1" applyBorder="1"/>
    <xf numFmtId="0" fontId="22" fillId="0" borderId="0" xfId="0" applyFont="1" applyAlignment="1">
      <alignment horizontal="centerContinuous"/>
    </xf>
    <xf numFmtId="0" fontId="23" fillId="0" borderId="0" xfId="0" applyFont="1" applyAlignment="1">
      <alignment horizontal="centerContinuous"/>
    </xf>
    <xf numFmtId="0" fontId="4" fillId="10" borderId="26" xfId="0" applyFont="1" applyFill="1" applyBorder="1"/>
    <xf numFmtId="164" fontId="4" fillId="10" borderId="27" xfId="0" applyNumberFormat="1" applyFont="1" applyFill="1" applyBorder="1" applyAlignment="1">
      <alignment horizontal="center"/>
    </xf>
    <xf numFmtId="0" fontId="12" fillId="0" borderId="28" xfId="0" applyFont="1" applyFill="1" applyBorder="1" applyAlignment="1">
      <alignment horizontal="left"/>
    </xf>
    <xf numFmtId="43" fontId="11" fillId="0" borderId="29" xfId="1" applyNumberFormat="1" applyFont="1" applyFill="1" applyBorder="1"/>
    <xf numFmtId="0" fontId="11" fillId="0" borderId="29" xfId="0" applyFont="1" applyFill="1" applyBorder="1"/>
    <xf numFmtId="0" fontId="11" fillId="13" borderId="28" xfId="0" applyFont="1" applyFill="1" applyBorder="1" applyAlignment="1">
      <alignment horizontal="left"/>
    </xf>
    <xf numFmtId="43" fontId="11" fillId="13" borderId="29" xfId="1" applyNumberFormat="1" applyFont="1" applyFill="1" applyBorder="1"/>
    <xf numFmtId="0" fontId="11" fillId="0" borderId="28" xfId="0" applyFont="1" applyFill="1" applyBorder="1" applyAlignment="1">
      <alignment horizontal="left"/>
    </xf>
    <xf numFmtId="0" fontId="11" fillId="0" borderId="28" xfId="0" applyFont="1" applyFill="1" applyBorder="1"/>
    <xf numFmtId="0" fontId="11" fillId="13" borderId="30" xfId="0" applyFont="1" applyFill="1" applyBorder="1"/>
    <xf numFmtId="43" fontId="11" fillId="13" borderId="31" xfId="1" applyNumberFormat="1" applyFont="1" applyFill="1" applyBorder="1"/>
    <xf numFmtId="0" fontId="12" fillId="0" borderId="28" xfId="0" applyFont="1" applyFill="1" applyBorder="1"/>
    <xf numFmtId="43" fontId="12" fillId="0" borderId="29" xfId="1" applyNumberFormat="1" applyFont="1" applyFill="1" applyBorder="1"/>
    <xf numFmtId="0" fontId="11" fillId="13" borderId="28" xfId="0" applyFont="1" applyFill="1" applyBorder="1"/>
    <xf numFmtId="0" fontId="11" fillId="0" borderId="32" xfId="0" applyFont="1" applyFill="1" applyBorder="1"/>
    <xf numFmtId="43" fontId="11" fillId="0" borderId="33" xfId="1" applyNumberFormat="1" applyFont="1" applyFill="1" applyBorder="1"/>
    <xf numFmtId="0" fontId="12" fillId="13" borderId="30" xfId="0" applyFont="1" applyFill="1" applyBorder="1"/>
    <xf numFmtId="43" fontId="12" fillId="13" borderId="31" xfId="1" applyNumberFormat="1" applyFont="1" applyFill="1" applyBorder="1"/>
    <xf numFmtId="0" fontId="11" fillId="13" borderId="28" xfId="2" applyFont="1" applyFill="1" applyBorder="1"/>
    <xf numFmtId="0" fontId="4" fillId="10" borderId="34" xfId="0" applyFont="1" applyFill="1" applyBorder="1"/>
    <xf numFmtId="164" fontId="4" fillId="10" borderId="34" xfId="0" applyNumberFormat="1" applyFont="1" applyFill="1" applyBorder="1" applyAlignment="1">
      <alignment horizontal="center"/>
    </xf>
    <xf numFmtId="43" fontId="5" fillId="0" borderId="0" xfId="1" applyNumberFormat="1" applyFont="1" applyFill="1"/>
    <xf numFmtId="43" fontId="5" fillId="13" borderId="0" xfId="1" applyNumberFormat="1" applyFont="1" applyFill="1"/>
    <xf numFmtId="0" fontId="11" fillId="13" borderId="0" xfId="0" applyFont="1" applyFill="1" applyAlignment="1">
      <alignment horizontal="left"/>
    </xf>
    <xf numFmtId="9" fontId="11" fillId="13" borderId="0" xfId="3" applyNumberFormat="1" applyFont="1" applyFill="1"/>
    <xf numFmtId="0" fontId="11" fillId="13" borderId="0" xfId="0" applyFont="1" applyFill="1"/>
    <xf numFmtId="0" fontId="11" fillId="13" borderId="14" xfId="0" applyFont="1" applyFill="1" applyBorder="1"/>
    <xf numFmtId="43" fontId="11" fillId="0" borderId="14" xfId="1" applyNumberFormat="1" applyFont="1" applyFill="1" applyBorder="1"/>
    <xf numFmtId="9" fontId="11" fillId="13" borderId="14" xfId="3" applyNumberFormat="1" applyFont="1" applyFill="1" applyBorder="1"/>
    <xf numFmtId="0" fontId="12" fillId="13" borderId="0" xfId="0" applyFont="1" applyFill="1"/>
    <xf numFmtId="9" fontId="12" fillId="13" borderId="0" xfId="3" applyNumberFormat="1" applyFont="1" applyFill="1"/>
    <xf numFmtId="0" fontId="11" fillId="13" borderId="1" xfId="0" applyFont="1" applyFill="1" applyBorder="1"/>
    <xf numFmtId="9" fontId="11" fillId="13" borderId="1" xfId="3" applyNumberFormat="1" applyFont="1" applyFill="1" applyBorder="1"/>
    <xf numFmtId="43" fontId="11" fillId="13" borderId="0" xfId="1" applyNumberFormat="1" applyFont="1" applyFill="1"/>
    <xf numFmtId="0" fontId="11" fillId="13" borderId="0" xfId="2" applyFont="1" applyFill="1" applyBorder="1"/>
    <xf numFmtId="0" fontId="12" fillId="13" borderId="1" xfId="0" applyFont="1" applyFill="1" applyBorder="1"/>
    <xf numFmtId="43" fontId="12" fillId="0" borderId="1" xfId="1" applyNumberFormat="1" applyFont="1" applyFill="1" applyBorder="1"/>
    <xf numFmtId="9" fontId="12" fillId="13" borderId="1" xfId="3" applyNumberFormat="1" applyFont="1" applyFill="1" applyBorder="1"/>
    <xf numFmtId="0" fontId="11" fillId="13" borderId="0" xfId="0" applyFont="1" applyFill="1" applyBorder="1"/>
    <xf numFmtId="43" fontId="11" fillId="13" borderId="0" xfId="1" applyNumberFormat="1" applyFont="1" applyFill="1" applyBorder="1"/>
    <xf numFmtId="0" fontId="12" fillId="13" borderId="0" xfId="0" applyFont="1" applyFill="1" applyAlignment="1">
      <alignment horizontal="left"/>
    </xf>
    <xf numFmtId="0" fontId="11" fillId="13" borderId="13" xfId="0" applyFont="1" applyFill="1" applyBorder="1"/>
    <xf numFmtId="0" fontId="11" fillId="13" borderId="0" xfId="0" applyFont="1" applyFill="1" applyBorder="1" applyAlignment="1">
      <alignment horizontal="left"/>
    </xf>
    <xf numFmtId="0" fontId="4" fillId="10" borderId="23" xfId="0" applyFont="1" applyFill="1" applyBorder="1"/>
    <xf numFmtId="164" fontId="4" fillId="10" borderId="35" xfId="0" applyNumberFormat="1" applyFont="1" applyFill="1" applyBorder="1" applyAlignment="1">
      <alignment horizontal="center"/>
    </xf>
    <xf numFmtId="0" fontId="12" fillId="0" borderId="29" xfId="0" applyNumberFormat="1" applyFont="1" applyFill="1" applyBorder="1" applyAlignment="1">
      <alignment horizontal="left"/>
    </xf>
    <xf numFmtId="43" fontId="11" fillId="0" borderId="29" xfId="1" applyNumberFormat="1" applyFont="1" applyFill="1" applyBorder="1" applyAlignment="1">
      <alignment horizontal="left"/>
    </xf>
    <xf numFmtId="9" fontId="11" fillId="0" borderId="29" xfId="3" applyNumberFormat="1" applyFont="1" applyFill="1" applyBorder="1"/>
    <xf numFmtId="43" fontId="12" fillId="0" borderId="29" xfId="1" applyNumberFormat="1" applyFont="1" applyFill="1" applyBorder="1" applyAlignment="1">
      <alignment horizontal="left"/>
    </xf>
    <xf numFmtId="9" fontId="12" fillId="0" borderId="29" xfId="3" applyNumberFormat="1" applyFont="1" applyFill="1" applyBorder="1"/>
    <xf numFmtId="43" fontId="11" fillId="0" borderId="33" xfId="1" applyNumberFormat="1" applyFont="1" applyFill="1" applyBorder="1" applyAlignment="1">
      <alignment horizontal="left"/>
    </xf>
    <xf numFmtId="9" fontId="11" fillId="0" borderId="33" xfId="3" applyNumberFormat="1" applyFont="1" applyFill="1" applyBorder="1"/>
    <xf numFmtId="0" fontId="11" fillId="0" borderId="30" xfId="0" applyFont="1" applyFill="1" applyBorder="1"/>
    <xf numFmtId="43" fontId="11" fillId="0" borderId="31" xfId="1" applyNumberFormat="1" applyFont="1" applyFill="1" applyBorder="1" applyAlignment="1">
      <alignment horizontal="left"/>
    </xf>
    <xf numFmtId="43" fontId="11" fillId="0" borderId="31" xfId="1" applyNumberFormat="1" applyFont="1" applyFill="1" applyBorder="1"/>
    <xf numFmtId="9" fontId="11" fillId="0" borderId="31" xfId="3" applyNumberFormat="1" applyFont="1" applyFill="1" applyBorder="1"/>
    <xf numFmtId="0" fontId="4" fillId="11" borderId="38" xfId="0" applyFont="1" applyFill="1" applyBorder="1"/>
    <xf numFmtId="164" fontId="4" fillId="11" borderId="38" xfId="0" applyNumberFormat="1" applyFont="1" applyFill="1" applyBorder="1" applyAlignment="1">
      <alignment horizontal="center"/>
    </xf>
    <xf numFmtId="0" fontId="4" fillId="11" borderId="39" xfId="0" applyFont="1" applyFill="1" applyBorder="1" applyAlignment="1">
      <alignment horizontal="center"/>
    </xf>
    <xf numFmtId="43" fontId="4" fillId="11" borderId="38" xfId="1" applyNumberFormat="1" applyFont="1" applyFill="1" applyBorder="1" applyAlignment="1">
      <alignment horizontal="center"/>
    </xf>
    <xf numFmtId="43" fontId="11" fillId="0" borderId="0" xfId="1" applyNumberFormat="1" applyFont="1" applyFill="1" applyBorder="1" applyAlignment="1">
      <alignment horizontal="center"/>
    </xf>
    <xf numFmtId="43" fontId="11" fillId="0" borderId="13" xfId="1" applyNumberFormat="1" applyFont="1" applyFill="1" applyBorder="1" applyAlignment="1">
      <alignment horizontal="center"/>
    </xf>
    <xf numFmtId="37" fontId="12" fillId="0" borderId="7" xfId="16" applyNumberFormat="1" applyFont="1" applyFill="1" applyBorder="1" applyAlignment="1">
      <alignment horizontal="center"/>
    </xf>
    <xf numFmtId="0" fontId="12" fillId="0" borderId="7" xfId="16" applyFont="1" applyFill="1" applyBorder="1" applyAlignment="1">
      <alignment horizontal="left"/>
    </xf>
    <xf numFmtId="9" fontId="12" fillId="0" borderId="7" xfId="3" applyNumberFormat="1" applyFont="1" applyFill="1" applyBorder="1" applyAlignment="1">
      <alignment horizontal="center"/>
    </xf>
    <xf numFmtId="168" fontId="12" fillId="0" borderId="7" xfId="16" applyNumberFormat="1" applyFont="1" applyFill="1" applyBorder="1"/>
    <xf numFmtId="0" fontId="12" fillId="0" borderId="7" xfId="16" applyFont="1" applyFill="1" applyBorder="1" applyAlignment="1">
      <alignment horizontal="center"/>
    </xf>
    <xf numFmtId="164" fontId="4" fillId="11" borderId="8" xfId="0" applyNumberFormat="1" applyFont="1" applyFill="1" applyBorder="1" applyAlignment="1">
      <alignment horizontal="centerContinuous"/>
    </xf>
    <xf numFmtId="165" fontId="11" fillId="0" borderId="0" xfId="2" applyNumberFormat="1" applyFont="1" applyFill="1" applyBorder="1" applyAlignment="1">
      <alignment horizontal="center"/>
    </xf>
    <xf numFmtId="0" fontId="4" fillId="11" borderId="34" xfId="0" applyFont="1" applyFill="1" applyBorder="1"/>
    <xf numFmtId="164" fontId="4" fillId="11" borderId="34" xfId="0" applyNumberFormat="1" applyFont="1" applyFill="1" applyBorder="1" applyAlignment="1">
      <alignment horizontal="center"/>
    </xf>
    <xf numFmtId="0" fontId="12" fillId="0" borderId="0" xfId="0" applyFont="1" applyFill="1" applyBorder="1" applyAlignment="1">
      <alignment horizontal="left"/>
    </xf>
    <xf numFmtId="43" fontId="5" fillId="0" borderId="0" xfId="1" applyNumberFormat="1" applyFont="1" applyFill="1" applyBorder="1"/>
    <xf numFmtId="43" fontId="11" fillId="0" borderId="0" xfId="1" applyNumberFormat="1" applyFont="1" applyFill="1" applyBorder="1" applyAlignment="1">
      <alignment horizontal="left"/>
    </xf>
    <xf numFmtId="43" fontId="4" fillId="0" borderId="7" xfId="1" applyNumberFormat="1" applyFont="1" applyFill="1" applyBorder="1" applyAlignment="1">
      <alignment horizontal="left"/>
    </xf>
    <xf numFmtId="0" fontId="12" fillId="0" borderId="0" xfId="0" applyFont="1" applyFill="1" applyBorder="1"/>
    <xf numFmtId="43" fontId="12" fillId="0" borderId="0" xfId="1" applyNumberFormat="1" applyFont="1" applyFill="1" applyBorder="1"/>
    <xf numFmtId="9" fontId="12" fillId="0" borderId="7" xfId="3" applyFont="1" applyFill="1" applyBorder="1" applyAlignment="1">
      <alignment horizontal="center"/>
    </xf>
    <xf numFmtId="0" fontId="11" fillId="0" borderId="24" xfId="0" applyFont="1" applyFill="1" applyBorder="1"/>
    <xf numFmtId="0" fontId="12" fillId="0" borderId="19" xfId="0" applyFont="1" applyFill="1" applyBorder="1"/>
    <xf numFmtId="0" fontId="27" fillId="0" borderId="0" xfId="0" applyFont="1"/>
    <xf numFmtId="0" fontId="28" fillId="0" borderId="0" xfId="0" applyFont="1"/>
    <xf numFmtId="164" fontId="29" fillId="9" borderId="0" xfId="0" applyNumberFormat="1" applyFont="1" applyFill="1"/>
    <xf numFmtId="0" fontId="29" fillId="9" borderId="0" xfId="0" applyFont="1" applyFill="1"/>
    <xf numFmtId="0" fontId="30" fillId="0" borderId="0" xfId="0" applyFont="1"/>
    <xf numFmtId="164" fontId="29" fillId="9" borderId="24" xfId="0" applyNumberFormat="1" applyFont="1" applyFill="1" applyBorder="1"/>
    <xf numFmtId="164" fontId="29" fillId="9" borderId="25" xfId="0" applyNumberFormat="1" applyFont="1" applyFill="1" applyBorder="1"/>
    <xf numFmtId="164" fontId="29" fillId="0" borderId="0" xfId="0" applyNumberFormat="1" applyFont="1" applyFill="1" applyBorder="1"/>
    <xf numFmtId="0" fontId="28" fillId="0" borderId="0" xfId="0" applyFont="1" applyFill="1"/>
    <xf numFmtId="0" fontId="27" fillId="0" borderId="0" xfId="0" applyFont="1" applyFill="1"/>
    <xf numFmtId="0" fontId="30" fillId="13" borderId="24" xfId="0" applyFont="1" applyFill="1" applyBorder="1"/>
    <xf numFmtId="37" fontId="28" fillId="13" borderId="18" xfId="0" applyNumberFormat="1" applyFont="1" applyFill="1" applyBorder="1"/>
    <xf numFmtId="0" fontId="28" fillId="13" borderId="18" xfId="0" applyFont="1" applyFill="1" applyBorder="1"/>
    <xf numFmtId="0" fontId="28" fillId="13" borderId="19" xfId="0" applyFont="1" applyFill="1" applyBorder="1"/>
    <xf numFmtId="37" fontId="28" fillId="0" borderId="0" xfId="0" applyNumberFormat="1" applyFont="1"/>
    <xf numFmtId="0" fontId="30" fillId="0" borderId="0" xfId="0" applyFont="1" applyBorder="1"/>
    <xf numFmtId="0" fontId="28" fillId="0" borderId="0" xfId="0" applyFont="1" applyFill="1" applyBorder="1"/>
    <xf numFmtId="0" fontId="30" fillId="0" borderId="0" xfId="0" applyFont="1" applyFill="1"/>
    <xf numFmtId="164" fontId="29" fillId="9" borderId="0" xfId="0" applyNumberFormat="1" applyFont="1" applyFill="1" applyBorder="1"/>
    <xf numFmtId="0" fontId="30" fillId="0" borderId="0" xfId="0" applyFont="1" applyFill="1" applyBorder="1"/>
    <xf numFmtId="0" fontId="28" fillId="0" borderId="0" xfId="0" applyFont="1" applyBorder="1"/>
    <xf numFmtId="164" fontId="29" fillId="0" borderId="0" xfId="0" applyNumberFormat="1" applyFont="1" applyFill="1"/>
    <xf numFmtId="0" fontId="27" fillId="0" borderId="0" xfId="0" applyFont="1" applyFill="1" applyBorder="1"/>
    <xf numFmtId="0" fontId="30" fillId="0" borderId="0" xfId="2" applyFont="1" applyFill="1" applyBorder="1"/>
    <xf numFmtId="167" fontId="30" fillId="0" borderId="0" xfId="8" applyNumberFormat="1" applyFont="1" applyFill="1" applyBorder="1" applyAlignment="1">
      <alignment horizontal="left"/>
    </xf>
    <xf numFmtId="43" fontId="28" fillId="0" borderId="0" xfId="2" applyNumberFormat="1" applyFont="1" applyFill="1" applyBorder="1"/>
    <xf numFmtId="167" fontId="30" fillId="0" borderId="0" xfId="8" applyNumberFormat="1" applyFont="1" applyFill="1" applyBorder="1"/>
    <xf numFmtId="0" fontId="28" fillId="0" borderId="0" xfId="2" applyFont="1" applyFill="1" applyBorder="1"/>
    <xf numFmtId="164" fontId="29" fillId="9" borderId="40" xfId="0" applyNumberFormat="1" applyFont="1" applyFill="1" applyBorder="1"/>
    <xf numFmtId="164" fontId="29" fillId="9" borderId="20" xfId="0" applyNumberFormat="1" applyFont="1" applyFill="1" applyBorder="1"/>
    <xf numFmtId="9" fontId="28" fillId="0" borderId="18" xfId="3" applyFont="1" applyFill="1" applyBorder="1"/>
    <xf numFmtId="9" fontId="28" fillId="0" borderId="20" xfId="3" applyFont="1" applyFill="1" applyBorder="1"/>
    <xf numFmtId="9" fontId="28" fillId="0" borderId="40" xfId="3" applyFont="1" applyFill="1" applyBorder="1"/>
    <xf numFmtId="43" fontId="28" fillId="0" borderId="40" xfId="2" applyNumberFormat="1" applyFont="1" applyFill="1" applyBorder="1"/>
    <xf numFmtId="0" fontId="25" fillId="0" borderId="0" xfId="2" applyFont="1" applyBorder="1" applyAlignment="1">
      <alignment horizontal="center"/>
    </xf>
    <xf numFmtId="10" fontId="26" fillId="0" borderId="0" xfId="4" applyNumberFormat="1" applyFont="1" applyBorder="1" applyAlignment="1">
      <alignment horizontal="center"/>
    </xf>
    <xf numFmtId="9" fontId="30" fillId="0" borderId="40" xfId="3" applyFont="1" applyFill="1" applyBorder="1" applyAlignment="1">
      <alignment horizontal="center"/>
    </xf>
    <xf numFmtId="165" fontId="26" fillId="0" borderId="0" xfId="2" applyNumberFormat="1" applyFont="1" applyBorder="1" applyAlignment="1">
      <alignment horizontal="center"/>
    </xf>
    <xf numFmtId="165" fontId="26" fillId="0" borderId="0" xfId="4" applyNumberFormat="1" applyFont="1" applyBorder="1" applyAlignment="1">
      <alignment horizontal="center"/>
    </xf>
    <xf numFmtId="9" fontId="25" fillId="0" borderId="0" xfId="2" applyNumberFormat="1" applyFont="1" applyBorder="1" applyAlignment="1">
      <alignment horizontal="center"/>
    </xf>
    <xf numFmtId="0" fontId="28" fillId="0" borderId="0" xfId="2" applyFont="1" applyBorder="1" applyAlignment="1">
      <alignment horizontal="center"/>
    </xf>
    <xf numFmtId="10" fontId="30" fillId="0" borderId="0" xfId="4" applyNumberFormat="1" applyFont="1" applyBorder="1" applyAlignment="1">
      <alignment horizontal="center"/>
    </xf>
    <xf numFmtId="9" fontId="28" fillId="0" borderId="0" xfId="2" applyNumberFormat="1" applyFont="1" applyBorder="1" applyAlignment="1">
      <alignment horizontal="center"/>
    </xf>
    <xf numFmtId="0" fontId="30" fillId="0" borderId="0" xfId="2" applyFont="1" applyBorder="1" applyAlignment="1">
      <alignment horizontal="center"/>
    </xf>
    <xf numFmtId="0" fontId="30" fillId="13" borderId="18" xfId="2" applyFont="1" applyFill="1" applyBorder="1"/>
    <xf numFmtId="167" fontId="30" fillId="13" borderId="19" xfId="8" applyNumberFormat="1" applyFont="1" applyFill="1" applyBorder="1" applyAlignment="1">
      <alignment horizontal="left"/>
    </xf>
    <xf numFmtId="0" fontId="33" fillId="0" borderId="0" xfId="19" applyFont="1" applyFill="1" applyBorder="1" applyAlignment="1">
      <alignment horizontal="center" vertical="center"/>
    </xf>
    <xf numFmtId="0" fontId="33" fillId="0" borderId="0" xfId="19" applyFont="1" applyFill="1" applyBorder="1" applyAlignment="1">
      <alignment horizontal="center"/>
    </xf>
    <xf numFmtId="0" fontId="34" fillId="0" borderId="0" xfId="19" applyFont="1" applyFill="1" applyBorder="1"/>
    <xf numFmtId="37" fontId="34" fillId="0" borderId="0" xfId="19" applyNumberFormat="1" applyFont="1" applyFill="1" applyBorder="1" applyAlignment="1">
      <alignment horizontal="center" vertical="center"/>
    </xf>
    <xf numFmtId="37" fontId="34" fillId="0" borderId="0" xfId="19" applyNumberFormat="1" applyFont="1" applyFill="1" applyBorder="1"/>
    <xf numFmtId="0" fontId="9" fillId="0" borderId="0" xfId="19" applyFont="1" applyFill="1" applyBorder="1" applyAlignment="1">
      <alignment horizontal="center" vertical="center"/>
    </xf>
    <xf numFmtId="0" fontId="34" fillId="0" borderId="0" xfId="19" applyFont="1" applyFill="1" applyBorder="1" applyAlignment="1">
      <alignment horizontal="center" vertical="center"/>
    </xf>
    <xf numFmtId="0" fontId="9" fillId="0" borderId="0" xfId="19" applyFont="1" applyFill="1" applyBorder="1"/>
    <xf numFmtId="43" fontId="33" fillId="0" borderId="0" xfId="1" applyFont="1" applyFill="1" applyBorder="1" applyAlignment="1">
      <alignment horizontal="center"/>
    </xf>
    <xf numFmtId="0" fontId="34" fillId="0" borderId="0" xfId="19" applyFont="1" applyFill="1" applyBorder="1" applyAlignment="1">
      <alignment horizontal="center"/>
    </xf>
    <xf numFmtId="37" fontId="34" fillId="0" borderId="0" xfId="19" applyNumberFormat="1" applyFont="1" applyFill="1" applyBorder="1" applyAlignment="1">
      <alignment horizontal="center"/>
    </xf>
    <xf numFmtId="170" fontId="33" fillId="0" borderId="0" xfId="20" applyNumberFormat="1" applyFont="1" applyFill="1" applyBorder="1" applyAlignment="1">
      <alignment horizontal="center"/>
    </xf>
    <xf numFmtId="170" fontId="33" fillId="0" borderId="0" xfId="20" applyNumberFormat="1" applyFont="1" applyFill="1" applyBorder="1" applyAlignment="1">
      <alignment horizontal="center" vertical="center"/>
    </xf>
    <xf numFmtId="37" fontId="33" fillId="0" borderId="0" xfId="20" applyNumberFormat="1" applyFont="1" applyFill="1" applyBorder="1" applyAlignment="1">
      <alignment horizontal="center" vertical="center"/>
    </xf>
    <xf numFmtId="168" fontId="33" fillId="0" borderId="0" xfId="13" applyNumberFormat="1" applyFont="1" applyFill="1" applyBorder="1" applyAlignment="1">
      <alignment horizontal="center" vertical="center"/>
    </xf>
    <xf numFmtId="0" fontId="35" fillId="0" borderId="0" xfId="19" applyFont="1" applyFill="1" applyBorder="1"/>
    <xf numFmtId="0" fontId="34" fillId="0" borderId="0" xfId="19" applyFont="1" applyFill="1" applyBorder="1" applyAlignment="1">
      <alignment horizontal="left" indent="1"/>
    </xf>
    <xf numFmtId="0" fontId="33" fillId="0" borderId="0" xfId="19" applyFont="1" applyFill="1" applyBorder="1" applyAlignment="1">
      <alignment horizontal="left"/>
    </xf>
    <xf numFmtId="0" fontId="34" fillId="0" borderId="0" xfId="19" applyFont="1" applyFill="1" applyBorder="1" applyAlignment="1">
      <alignment horizontal="left"/>
    </xf>
    <xf numFmtId="43" fontId="34" fillId="0" borderId="0" xfId="1" applyFont="1" applyFill="1" applyBorder="1" applyAlignment="1">
      <alignment horizontal="center"/>
    </xf>
    <xf numFmtId="164" fontId="4" fillId="10" borderId="0" xfId="0" applyNumberFormat="1" applyFont="1" applyFill="1" applyBorder="1" applyAlignment="1">
      <alignment horizontal="left"/>
    </xf>
    <xf numFmtId="0" fontId="34" fillId="0" borderId="13" xfId="19" applyFont="1" applyFill="1" applyBorder="1" applyAlignment="1">
      <alignment horizontal="left" indent="1"/>
    </xf>
    <xf numFmtId="37" fontId="34" fillId="0" borderId="13" xfId="19" applyNumberFormat="1" applyFont="1" applyFill="1" applyBorder="1" applyAlignment="1">
      <alignment horizontal="center" vertical="center"/>
    </xf>
    <xf numFmtId="37" fontId="34" fillId="0" borderId="13" xfId="19" applyNumberFormat="1" applyFont="1" applyFill="1" applyBorder="1" applyAlignment="1">
      <alignment horizontal="center"/>
    </xf>
    <xf numFmtId="0" fontId="9" fillId="0" borderId="0" xfId="19" applyFont="1" applyFill="1" applyBorder="1" applyAlignment="1">
      <alignment horizontal="centerContinuous" vertical="center"/>
    </xf>
    <xf numFmtId="0" fontId="9" fillId="0" borderId="0" xfId="19" applyFont="1" applyFill="1" applyBorder="1" applyAlignment="1">
      <alignment horizontal="centerContinuous"/>
    </xf>
    <xf numFmtId="43" fontId="34" fillId="0" borderId="0" xfId="1" applyFont="1" applyFill="1" applyBorder="1" applyAlignment="1">
      <alignment horizontal="center" vertical="center"/>
    </xf>
    <xf numFmtId="43" fontId="9" fillId="0" borderId="0" xfId="1" applyFont="1" applyFill="1" applyBorder="1"/>
    <xf numFmtId="43" fontId="34" fillId="0" borderId="13" xfId="1" applyFont="1" applyFill="1" applyBorder="1" applyAlignment="1">
      <alignment horizontal="center"/>
    </xf>
    <xf numFmtId="43" fontId="33" fillId="0" borderId="0" xfId="1" applyFont="1" applyFill="1" applyBorder="1" applyAlignment="1">
      <alignment horizontal="center" vertical="center"/>
    </xf>
    <xf numFmtId="9" fontId="33" fillId="0" borderId="0" xfId="3" applyFont="1" applyFill="1" applyBorder="1" applyAlignment="1">
      <alignment horizontal="center" vertical="center"/>
    </xf>
    <xf numFmtId="43" fontId="34" fillId="0" borderId="0" xfId="19" applyNumberFormat="1" applyFont="1" applyFill="1" applyBorder="1" applyAlignment="1">
      <alignment horizontal="center" vertical="center"/>
    </xf>
    <xf numFmtId="10" fontId="33" fillId="0" borderId="0" xfId="3" applyNumberFormat="1" applyFont="1" applyFill="1" applyBorder="1" applyAlignment="1">
      <alignment horizontal="center" vertical="center"/>
    </xf>
    <xf numFmtId="43" fontId="34" fillId="0" borderId="0" xfId="1" applyFont="1" applyFill="1" applyBorder="1" applyAlignment="1">
      <alignment horizontal="left"/>
    </xf>
    <xf numFmtId="0" fontId="34" fillId="0" borderId="0" xfId="0" applyNumberFormat="1" applyFont="1" applyFill="1" applyBorder="1" applyAlignment="1" applyProtection="1">
      <alignment horizontal="left"/>
    </xf>
    <xf numFmtId="37" fontId="34" fillId="0" borderId="0" xfId="0" applyNumberFormat="1" applyFont="1" applyFill="1" applyBorder="1" applyAlignment="1" applyProtection="1">
      <alignment horizontal="center" vertical="center"/>
    </xf>
    <xf numFmtId="43" fontId="34" fillId="0" borderId="0" xfId="0" applyNumberFormat="1" applyFont="1" applyFill="1" applyBorder="1" applyAlignment="1" applyProtection="1">
      <alignment horizontal="center" vertical="center"/>
    </xf>
    <xf numFmtId="43" fontId="9" fillId="0" borderId="0" xfId="0" applyNumberFormat="1" applyFont="1" applyFill="1" applyBorder="1" applyAlignment="1" applyProtection="1"/>
    <xf numFmtId="0" fontId="36" fillId="0" borderId="0" xfId="17" applyFont="1" applyAlignment="1" applyProtection="1"/>
    <xf numFmtId="0" fontId="37" fillId="0" borderId="0" xfId="0" applyFont="1"/>
    <xf numFmtId="43" fontId="31" fillId="11" borderId="0" xfId="1" applyFont="1" applyFill="1" applyBorder="1" applyAlignment="1">
      <alignment horizontal="center"/>
    </xf>
    <xf numFmtId="43" fontId="27" fillId="0" borderId="0" xfId="1" applyFont="1" applyFill="1" applyBorder="1"/>
    <xf numFmtId="0" fontId="0" fillId="0" borderId="0" xfId="0" applyBorder="1"/>
    <xf numFmtId="0" fontId="11" fillId="0" borderId="41" xfId="0" applyFont="1" applyFill="1" applyBorder="1"/>
    <xf numFmtId="0" fontId="12" fillId="0" borderId="30" xfId="0" applyFont="1" applyFill="1" applyBorder="1"/>
    <xf numFmtId="43" fontId="12" fillId="0" borderId="31" xfId="1" applyNumberFormat="1" applyFont="1" applyFill="1" applyBorder="1" applyAlignment="1">
      <alignment horizontal="left"/>
    </xf>
    <xf numFmtId="43" fontId="12" fillId="0" borderId="31" xfId="1" applyNumberFormat="1" applyFont="1" applyFill="1" applyBorder="1"/>
    <xf numFmtId="9" fontId="12" fillId="0" borderId="31" xfId="3" applyNumberFormat="1" applyFont="1" applyFill="1" applyBorder="1"/>
    <xf numFmtId="0" fontId="11" fillId="0" borderId="28" xfId="2" applyFont="1" applyFill="1" applyBorder="1"/>
    <xf numFmtId="0" fontId="11" fillId="0" borderId="36" xfId="0" applyFont="1" applyFill="1" applyBorder="1"/>
    <xf numFmtId="43" fontId="11" fillId="0" borderId="37" xfId="1" applyNumberFormat="1" applyFont="1" applyFill="1" applyBorder="1"/>
    <xf numFmtId="10" fontId="11" fillId="0" borderId="13" xfId="4" applyNumberFormat="1" applyFont="1" applyFill="1" applyBorder="1"/>
    <xf numFmtId="10" fontId="12" fillId="0" borderId="0" xfId="4" applyNumberFormat="1" applyFont="1" applyFill="1" applyBorder="1"/>
    <xf numFmtId="10" fontId="11" fillId="0" borderId="0" xfId="2" applyNumberFormat="1" applyFont="1" applyFill="1" applyBorder="1"/>
    <xf numFmtId="0" fontId="38" fillId="14" borderId="0" xfId="2" applyFont="1" applyFill="1" applyBorder="1" applyAlignment="1"/>
    <xf numFmtId="43" fontId="38" fillId="14" borderId="0" xfId="6" applyFont="1" applyFill="1" applyBorder="1" applyAlignment="1"/>
    <xf numFmtId="9" fontId="38" fillId="14" borderId="0" xfId="3" applyFont="1" applyFill="1" applyBorder="1" applyAlignment="1"/>
    <xf numFmtId="168" fontId="38" fillId="14" borderId="0" xfId="3" applyNumberFormat="1" applyFont="1" applyFill="1" applyBorder="1" applyAlignment="1"/>
    <xf numFmtId="10" fontId="12" fillId="0" borderId="0" xfId="3" applyNumberFormat="1" applyFont="1" applyFill="1" applyBorder="1"/>
    <xf numFmtId="43" fontId="28" fillId="0" borderId="0" xfId="1" applyFont="1" applyFill="1" applyBorder="1"/>
    <xf numFmtId="43" fontId="28" fillId="0" borderId="13" xfId="1" applyFont="1" applyFill="1" applyBorder="1"/>
    <xf numFmtId="43" fontId="30" fillId="0" borderId="0" xfId="1" applyFont="1" applyFill="1" applyBorder="1"/>
    <xf numFmtId="165" fontId="30" fillId="0" borderId="0" xfId="1" applyNumberFormat="1" applyFont="1" applyFill="1" applyBorder="1"/>
    <xf numFmtId="43" fontId="28" fillId="0" borderId="1" xfId="1" applyFont="1" applyFill="1" applyBorder="1"/>
    <xf numFmtId="43" fontId="30" fillId="0" borderId="1" xfId="1" applyFont="1" applyFill="1" applyBorder="1"/>
    <xf numFmtId="43" fontId="30" fillId="0" borderId="13" xfId="1" applyFont="1" applyFill="1" applyBorder="1"/>
    <xf numFmtId="43" fontId="28" fillId="0" borderId="0" xfId="1" applyFont="1"/>
    <xf numFmtId="165" fontId="28" fillId="0" borderId="0" xfId="1" applyNumberFormat="1" applyFont="1"/>
    <xf numFmtId="0" fontId="6" fillId="0" borderId="0" xfId="17" quotePrefix="1" applyAlignment="1" applyProtection="1"/>
    <xf numFmtId="0" fontId="6" fillId="0" borderId="0" xfId="17" applyAlignment="1" applyProtection="1"/>
    <xf numFmtId="9" fontId="11" fillId="0" borderId="0" xfId="4" applyNumberFormat="1" applyFont="1" applyFill="1" applyBorder="1"/>
    <xf numFmtId="9" fontId="12" fillId="0" borderId="0" xfId="4" applyNumberFormat="1" applyFont="1" applyFill="1" applyBorder="1"/>
    <xf numFmtId="37" fontId="4" fillId="11" borderId="23" xfId="2" applyNumberFormat="1" applyFont="1" applyFill="1" applyBorder="1"/>
    <xf numFmtId="0" fontId="4" fillId="11" borderId="35" xfId="1" applyNumberFormat="1" applyFont="1" applyFill="1" applyBorder="1" applyAlignment="1">
      <alignment horizontal="center"/>
    </xf>
    <xf numFmtId="37" fontId="22" fillId="0" borderId="28" xfId="2" applyNumberFormat="1" applyFont="1" applyFill="1" applyBorder="1"/>
    <xf numFmtId="43" fontId="22" fillId="0" borderId="29" xfId="1" applyNumberFormat="1" applyFont="1" applyFill="1" applyBorder="1"/>
    <xf numFmtId="43" fontId="22" fillId="0" borderId="45" xfId="1" applyNumberFormat="1" applyFont="1" applyFill="1" applyBorder="1"/>
    <xf numFmtId="37" fontId="22" fillId="0" borderId="44" xfId="2" applyNumberFormat="1" applyFont="1" applyFill="1" applyBorder="1" applyAlignment="1">
      <alignment horizontal="left" indent="1"/>
    </xf>
    <xf numFmtId="43" fontId="23" fillId="0" borderId="29" xfId="1" applyNumberFormat="1" applyFont="1" applyFill="1" applyBorder="1"/>
    <xf numFmtId="37" fontId="22" fillId="0" borderId="28" xfId="2" applyNumberFormat="1" applyFont="1" applyFill="1" applyBorder="1" applyAlignment="1">
      <alignment horizontal="left" indent="1"/>
    </xf>
    <xf numFmtId="37" fontId="23" fillId="0" borderId="28" xfId="2" applyNumberFormat="1" applyFont="1" applyFill="1" applyBorder="1"/>
    <xf numFmtId="37" fontId="12" fillId="0" borderId="28" xfId="2" applyNumberFormat="1" applyFont="1" applyFill="1" applyBorder="1"/>
    <xf numFmtId="43" fontId="40" fillId="0" borderId="29" xfId="1" applyNumberFormat="1" applyFont="1" applyFill="1" applyBorder="1"/>
    <xf numFmtId="0" fontId="39" fillId="0" borderId="0" xfId="0" applyFont="1" applyFill="1" applyBorder="1"/>
    <xf numFmtId="0" fontId="0" fillId="0" borderId="0" xfId="0" applyFill="1" applyBorder="1"/>
    <xf numFmtId="0" fontId="11" fillId="0" borderId="46" xfId="2" applyFont="1" applyFill="1" applyBorder="1"/>
    <xf numFmtId="9" fontId="20" fillId="0" borderId="46" xfId="0" applyNumberFormat="1" applyFont="1" applyBorder="1"/>
    <xf numFmtId="164" fontId="12" fillId="0" borderId="46" xfId="2" applyNumberFormat="1" applyFont="1" applyFill="1" applyBorder="1" applyAlignment="1">
      <alignment horizontal="left"/>
    </xf>
    <xf numFmtId="37" fontId="12" fillId="0" borderId="44" xfId="2" applyNumberFormat="1" applyFont="1" applyFill="1" applyBorder="1"/>
    <xf numFmtId="43" fontId="12" fillId="0" borderId="45" xfId="1" applyNumberFormat="1" applyFont="1" applyFill="1" applyBorder="1"/>
    <xf numFmtId="37" fontId="22" fillId="0" borderId="44" xfId="2" applyNumberFormat="1" applyFont="1" applyFill="1" applyBorder="1"/>
    <xf numFmtId="37" fontId="22" fillId="0" borderId="28" xfId="2" applyNumberFormat="1" applyFont="1" applyFill="1" applyBorder="1" applyAlignment="1">
      <alignment horizontal="left"/>
    </xf>
    <xf numFmtId="37" fontId="11" fillId="0" borderId="47" xfId="2" applyNumberFormat="1" applyFont="1" applyFill="1" applyBorder="1" applyAlignment="1">
      <alignment horizontal="left" indent="1"/>
    </xf>
    <xf numFmtId="43" fontId="11" fillId="0" borderId="48" xfId="1" applyNumberFormat="1" applyFont="1" applyFill="1" applyBorder="1"/>
    <xf numFmtId="0" fontId="22" fillId="4" borderId="0" xfId="2" applyFont="1" applyFill="1" applyBorder="1"/>
    <xf numFmtId="0" fontId="41" fillId="0" borderId="0" xfId="2" applyFont="1" applyFill="1"/>
    <xf numFmtId="10" fontId="41" fillId="0" borderId="0" xfId="4" applyNumberFormat="1" applyFont="1" applyFill="1"/>
    <xf numFmtId="0" fontId="42" fillId="0" borderId="0" xfId="2" applyFont="1" applyFill="1"/>
    <xf numFmtId="0" fontId="41" fillId="0" borderId="0" xfId="2" applyFont="1" applyFill="1" applyAlignment="1">
      <alignment horizontal="left"/>
    </xf>
    <xf numFmtId="0" fontId="42" fillId="0" borderId="0" xfId="2" applyFont="1" applyFill="1" applyAlignment="1">
      <alignment horizontal="center"/>
    </xf>
    <xf numFmtId="0" fontId="42" fillId="0" borderId="2" xfId="2" applyFont="1" applyFill="1" applyBorder="1" applyAlignment="1">
      <alignment horizontal="center"/>
    </xf>
    <xf numFmtId="43" fontId="41" fillId="0" borderId="2" xfId="2" applyNumberFormat="1" applyFont="1" applyFill="1" applyBorder="1" applyAlignment="1">
      <alignment horizontal="center"/>
    </xf>
    <xf numFmtId="0" fontId="42" fillId="0" borderId="0" xfId="2" applyFont="1" applyFill="1" applyBorder="1" applyAlignment="1">
      <alignment horizontal="center"/>
    </xf>
    <xf numFmtId="0" fontId="41" fillId="0" borderId="0" xfId="2" applyFont="1" applyFill="1" applyBorder="1" applyAlignment="1">
      <alignment horizontal="center"/>
    </xf>
    <xf numFmtId="0" fontId="43" fillId="0" borderId="0" xfId="2" applyFont="1" applyFill="1" applyAlignment="1">
      <alignment horizontal="center"/>
    </xf>
    <xf numFmtId="0" fontId="41" fillId="0" borderId="0" xfId="2" applyFont="1" applyFill="1" applyAlignment="1">
      <alignment horizontal="center"/>
    </xf>
    <xf numFmtId="0" fontId="43" fillId="0" borderId="0" xfId="2" applyFont="1" applyFill="1" applyBorder="1" applyAlignment="1">
      <alignment horizontal="center"/>
    </xf>
    <xf numFmtId="10" fontId="42" fillId="0" borderId="0" xfId="4" applyNumberFormat="1" applyFont="1" applyFill="1" applyAlignment="1">
      <alignment horizontal="center"/>
    </xf>
    <xf numFmtId="0" fontId="41" fillId="0" borderId="0" xfId="2" applyFont="1" applyFill="1" applyBorder="1" applyAlignment="1">
      <alignment horizontal="left"/>
    </xf>
    <xf numFmtId="0" fontId="42" fillId="0" borderId="0" xfId="2" applyFont="1" applyFill="1" applyAlignment="1">
      <alignment horizontal="left"/>
    </xf>
    <xf numFmtId="0" fontId="43" fillId="0" borderId="0" xfId="2" applyFont="1" applyFill="1" applyAlignment="1">
      <alignment horizontal="left"/>
    </xf>
    <xf numFmtId="0" fontId="41" fillId="0" borderId="3" xfId="2" applyFont="1" applyFill="1" applyBorder="1" applyAlignment="1">
      <alignment horizontal="left"/>
    </xf>
    <xf numFmtId="0" fontId="42" fillId="0" borderId="0" xfId="2" applyFont="1" applyFill="1" applyAlignment="1"/>
    <xf numFmtId="0" fontId="43" fillId="0" borderId="0" xfId="2" applyFont="1" applyFill="1" applyAlignment="1">
      <alignment horizontal="right"/>
    </xf>
    <xf numFmtId="0" fontId="41" fillId="0" borderId="0" xfId="2" applyFont="1" applyFill="1" applyBorder="1"/>
    <xf numFmtId="165" fontId="41" fillId="0" borderId="2" xfId="2" applyNumberFormat="1" applyFont="1" applyFill="1" applyBorder="1" applyAlignment="1">
      <alignment horizontal="center"/>
    </xf>
    <xf numFmtId="10" fontId="44" fillId="0" borderId="0" xfId="4" applyNumberFormat="1" applyFont="1" applyFill="1" applyAlignment="1">
      <alignment horizontal="left"/>
    </xf>
    <xf numFmtId="10" fontId="43" fillId="0" borderId="0" xfId="4" applyNumberFormat="1" applyFont="1" applyFill="1" applyAlignment="1">
      <alignment horizontal="left"/>
    </xf>
    <xf numFmtId="9" fontId="41" fillId="0" borderId="0" xfId="5" applyFont="1" applyFill="1"/>
    <xf numFmtId="10" fontId="41" fillId="0" borderId="0" xfId="4" applyNumberFormat="1" applyFont="1" applyFill="1" applyBorder="1"/>
    <xf numFmtId="10" fontId="42" fillId="0" borderId="0" xfId="4" applyNumberFormat="1" applyFont="1" applyFill="1"/>
    <xf numFmtId="0" fontId="44" fillId="0" borderId="4" xfId="2" applyFont="1" applyFill="1" applyBorder="1" applyAlignment="1">
      <alignment horizontal="center"/>
    </xf>
    <xf numFmtId="0" fontId="44" fillId="0" borderId="0" xfId="2" applyFont="1" applyFill="1" applyAlignment="1">
      <alignment horizontal="center"/>
    </xf>
    <xf numFmtId="0" fontId="44" fillId="0" borderId="0" xfId="2" applyFont="1" applyFill="1" applyAlignment="1">
      <alignment horizontal="left"/>
    </xf>
    <xf numFmtId="43" fontId="41" fillId="0" borderId="2" xfId="1" applyFont="1" applyFill="1" applyBorder="1" applyAlignment="1">
      <alignment horizontal="center"/>
    </xf>
    <xf numFmtId="10" fontId="43" fillId="0" borderId="0" xfId="4" applyNumberFormat="1" applyFont="1" applyFill="1" applyAlignment="1">
      <alignment horizontal="center"/>
    </xf>
    <xf numFmtId="168" fontId="41" fillId="0" borderId="0" xfId="4" applyNumberFormat="1" applyFont="1" applyFill="1"/>
    <xf numFmtId="10" fontId="41" fillId="0" borderId="2" xfId="3" applyNumberFormat="1" applyFont="1" applyFill="1" applyBorder="1" applyAlignment="1">
      <alignment horizontal="center"/>
    </xf>
    <xf numFmtId="0" fontId="44" fillId="0" borderId="0" xfId="2" applyFont="1" applyFill="1" applyBorder="1" applyAlignment="1">
      <alignment horizontal="center"/>
    </xf>
    <xf numFmtId="43" fontId="41" fillId="0" borderId="0" xfId="6" applyFont="1" applyFill="1" applyBorder="1"/>
    <xf numFmtId="43" fontId="41" fillId="0" borderId="2" xfId="2" applyNumberFormat="1" applyFont="1" applyFill="1" applyBorder="1"/>
    <xf numFmtId="10" fontId="42" fillId="0" borderId="1" xfId="4" applyNumberFormat="1" applyFont="1" applyFill="1" applyBorder="1" applyAlignment="1">
      <alignment horizontal="center"/>
    </xf>
    <xf numFmtId="43" fontId="41" fillId="0" borderId="0" xfId="2" applyNumberFormat="1" applyFont="1" applyFill="1"/>
    <xf numFmtId="10" fontId="44" fillId="0" borderId="0" xfId="4" applyNumberFormat="1" applyFont="1" applyFill="1" applyAlignment="1">
      <alignment horizontal="center"/>
    </xf>
    <xf numFmtId="10" fontId="44" fillId="0" borderId="0" xfId="4" applyNumberFormat="1" applyFont="1" applyFill="1" applyBorder="1" applyAlignment="1">
      <alignment horizontal="center"/>
    </xf>
    <xf numFmtId="0" fontId="42" fillId="0" borderId="0" xfId="2" applyFont="1" applyFill="1" applyAlignment="1">
      <alignment horizontal="right"/>
    </xf>
    <xf numFmtId="165" fontId="42" fillId="0" borderId="0" xfId="1" applyNumberFormat="1" applyFont="1" applyFill="1" applyAlignment="1">
      <alignment horizontal="right"/>
    </xf>
    <xf numFmtId="165" fontId="41" fillId="0" borderId="2" xfId="1" applyNumberFormat="1" applyFont="1" applyFill="1" applyBorder="1" applyAlignment="1">
      <alignment horizontal="center"/>
    </xf>
    <xf numFmtId="165" fontId="41" fillId="0" borderId="0" xfId="1" applyNumberFormat="1" applyFont="1" applyFill="1" applyAlignment="1">
      <alignment horizontal="right"/>
    </xf>
    <xf numFmtId="0" fontId="41" fillId="0" borderId="0" xfId="2" applyFont="1" applyFill="1" applyAlignment="1">
      <alignment horizontal="right"/>
    </xf>
    <xf numFmtId="10" fontId="41" fillId="0" borderId="0" xfId="4" applyNumberFormat="1" applyFont="1" applyFill="1" applyAlignment="1">
      <alignment horizontal="right"/>
    </xf>
    <xf numFmtId="165" fontId="41" fillId="0" borderId="0" xfId="1" applyNumberFormat="1" applyFont="1" applyFill="1" applyBorder="1" applyAlignment="1">
      <alignment horizontal="center"/>
    </xf>
    <xf numFmtId="165" fontId="41" fillId="0" borderId="0" xfId="1" applyNumberFormat="1" applyFont="1" applyFill="1" applyBorder="1"/>
    <xf numFmtId="0" fontId="41" fillId="0" borderId="0" xfId="0" applyFont="1" applyFill="1"/>
    <xf numFmtId="37" fontId="12" fillId="0" borderId="36" xfId="2" applyNumberFormat="1" applyFont="1" applyFill="1" applyBorder="1"/>
    <xf numFmtId="43" fontId="12" fillId="0" borderId="37" xfId="1" applyNumberFormat="1" applyFont="1" applyFill="1" applyBorder="1"/>
    <xf numFmtId="0" fontId="46" fillId="11" borderId="0" xfId="2" applyFont="1" applyFill="1" applyBorder="1" applyAlignment="1">
      <alignment horizontal="center"/>
    </xf>
    <xf numFmtId="164" fontId="46" fillId="11" borderId="0" xfId="2" applyNumberFormat="1" applyFont="1" applyFill="1" applyBorder="1" applyAlignment="1">
      <alignment horizontal="center"/>
    </xf>
    <xf numFmtId="168" fontId="46" fillId="11" borderId="0" xfId="7" applyNumberFormat="1" applyFont="1" applyFill="1" applyBorder="1" applyAlignment="1">
      <alignment horizontal="center"/>
    </xf>
    <xf numFmtId="0" fontId="14" fillId="0" borderId="0" xfId="2" applyFont="1" applyBorder="1"/>
    <xf numFmtId="167" fontId="14" fillId="0" borderId="0" xfId="8" applyNumberFormat="1" applyFont="1" applyBorder="1"/>
    <xf numFmtId="168" fontId="14" fillId="0" borderId="0" xfId="7" applyNumberFormat="1" applyFont="1" applyBorder="1"/>
    <xf numFmtId="0" fontId="14" fillId="0" borderId="13" xfId="2" applyFont="1" applyBorder="1"/>
    <xf numFmtId="167" fontId="14" fillId="0" borderId="13" xfId="8" applyNumberFormat="1" applyFont="1" applyBorder="1"/>
    <xf numFmtId="168" fontId="14" fillId="0" borderId="13" xfId="7" applyNumberFormat="1" applyFont="1" applyBorder="1"/>
    <xf numFmtId="0" fontId="13" fillId="0" borderId="0" xfId="2" applyFont="1" applyBorder="1"/>
    <xf numFmtId="166" fontId="13" fillId="0" borderId="0" xfId="8" applyNumberFormat="1" applyFont="1" applyBorder="1"/>
    <xf numFmtId="168" fontId="13" fillId="0" borderId="0" xfId="7" applyNumberFormat="1" applyFont="1" applyBorder="1"/>
    <xf numFmtId="166" fontId="14" fillId="0" borderId="0" xfId="2" applyNumberFormat="1" applyFont="1" applyBorder="1"/>
    <xf numFmtId="164" fontId="13" fillId="0" borderId="0" xfId="2" applyNumberFormat="1" applyFont="1" applyFill="1" applyBorder="1" applyAlignment="1">
      <alignment horizontal="center"/>
    </xf>
    <xf numFmtId="168" fontId="13" fillId="0" borderId="0" xfId="7" applyNumberFormat="1" applyFont="1" applyFill="1" applyBorder="1" applyAlignment="1">
      <alignment horizontal="center"/>
    </xf>
    <xf numFmtId="43" fontId="13" fillId="0" borderId="0" xfId="1" applyFont="1" applyBorder="1"/>
    <xf numFmtId="0" fontId="13" fillId="0" borderId="13" xfId="2" applyFont="1" applyBorder="1"/>
    <xf numFmtId="43" fontId="13" fillId="0" borderId="13" xfId="1" applyFont="1" applyBorder="1"/>
    <xf numFmtId="168" fontId="13" fillId="0" borderId="13" xfId="7" applyNumberFormat="1" applyFont="1" applyBorder="1"/>
    <xf numFmtId="43" fontId="13" fillId="0" borderId="0" xfId="8" applyFont="1" applyBorder="1"/>
    <xf numFmtId="164" fontId="4" fillId="10" borderId="12" xfId="0" applyNumberFormat="1" applyFont="1" applyFill="1" applyBorder="1" applyAlignment="1">
      <alignment horizontal="center"/>
    </xf>
    <xf numFmtId="164" fontId="4" fillId="10" borderId="5" xfId="0" applyNumberFormat="1" applyFont="1" applyFill="1" applyBorder="1" applyAlignment="1">
      <alignment horizontal="center"/>
    </xf>
    <xf numFmtId="164" fontId="4" fillId="10" borderId="42" xfId="0" applyNumberFormat="1" applyFont="1" applyFill="1" applyBorder="1" applyAlignment="1">
      <alignment horizontal="center"/>
    </xf>
    <xf numFmtId="164" fontId="4" fillId="10" borderId="43" xfId="0" applyNumberFormat="1" applyFont="1" applyFill="1" applyBorder="1" applyAlignment="1">
      <alignment horizontal="center"/>
    </xf>
    <xf numFmtId="0" fontId="42" fillId="0" borderId="0" xfId="2" applyFont="1" applyFill="1" applyBorder="1" applyAlignment="1">
      <alignment horizontal="right"/>
    </xf>
    <xf numFmtId="0" fontId="45" fillId="0" borderId="0" xfId="0" applyFont="1" applyFill="1" applyAlignment="1">
      <alignment horizontal="right"/>
    </xf>
    <xf numFmtId="0" fontId="45" fillId="0" borderId="4" xfId="0" applyFont="1" applyFill="1" applyBorder="1" applyAlignment="1">
      <alignment horizontal="right"/>
    </xf>
    <xf numFmtId="0" fontId="12" fillId="0" borderId="0" xfId="16" applyFont="1" applyFill="1" applyBorder="1" applyAlignment="1">
      <alignment horizontal="center"/>
    </xf>
    <xf numFmtId="164" fontId="4" fillId="11" borderId="8" xfId="0" applyNumberFormat="1" applyFont="1" applyFill="1" applyBorder="1" applyAlignment="1">
      <alignment horizontal="center"/>
    </xf>
    <xf numFmtId="167" fontId="12" fillId="5" borderId="8" xfId="8" applyNumberFormat="1" applyFont="1" applyFill="1" applyBorder="1" applyAlignment="1">
      <alignment horizontal="left"/>
    </xf>
  </cellXfs>
  <cellStyles count="41">
    <cellStyle name="Comma" xfId="1" builtinId="3"/>
    <cellStyle name="Comma 2" xfId="9"/>
    <cellStyle name="Comma 2 2" xfId="6"/>
    <cellStyle name="Comma 3" xfId="8"/>
    <cellStyle name="Comma 3 2" xfId="10"/>
    <cellStyle name="Comma 4" xfId="11"/>
    <cellStyle name="Comma 5" xfId="12"/>
    <cellStyle name="Hyperlink" xfId="17" builtinId="8"/>
    <cellStyle name="Millares [0] 2" xfId="21"/>
    <cellStyle name="Millares [0] 3" xfId="22"/>
    <cellStyle name="Millares 2" xfId="23"/>
    <cellStyle name="Millares 2 2" xfId="24"/>
    <cellStyle name="Millares 2 3" xfId="25"/>
    <cellStyle name="Millares 3" xfId="26"/>
    <cellStyle name="Millares 3 2" xfId="27"/>
    <cellStyle name="Millares 4" xfId="28"/>
    <cellStyle name="Millares 5" xfId="29"/>
    <cellStyle name="Normal" xfId="0" builtinId="0"/>
    <cellStyle name="Normal 2" xfId="2"/>
    <cellStyle name="Normal 2 2" xfId="16"/>
    <cellStyle name="Normal 3" xfId="18"/>
    <cellStyle name="Normal 4" xfId="19"/>
    <cellStyle name="Normal 4 2" xfId="30"/>
    <cellStyle name="Normal 4 3" xfId="31"/>
    <cellStyle name="Normal 4 4" xfId="32"/>
    <cellStyle name="Normal_FCHspread" xfId="20"/>
    <cellStyle name="Percent" xfId="3" builtinId="5"/>
    <cellStyle name="Percent 2" xfId="13"/>
    <cellStyle name="Percent 2 2" xfId="4"/>
    <cellStyle name="Percent 3" xfId="5"/>
    <cellStyle name="Percent 4" xfId="7"/>
    <cellStyle name="Percent 5" xfId="14"/>
    <cellStyle name="Percent 6" xfId="15"/>
    <cellStyle name="Porcentaje 2" xfId="33"/>
    <cellStyle name="Porcentaje 2 2" xfId="34"/>
    <cellStyle name="Porcentaje 3" xfId="35"/>
    <cellStyle name="Porcentual 2" xfId="36"/>
    <cellStyle name="Porcentual 2 2" xfId="37"/>
    <cellStyle name="Porcentual 3" xfId="38"/>
    <cellStyle name="Porcentual 3 2" xfId="39"/>
    <cellStyle name="Porcentual 4" xfId="40"/>
  </cellStyles>
  <dxfs count="730">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alignment horizontal="center" vertical="bottom" textRotation="0" wrapText="0" indent="0" relativeIndent="0" justifyLastLine="0" shrinkToFit="0" mergeCell="0" readingOrder="0"/>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4" formatCode="[$-409]d\-mmm\-yy;@"/>
      <fill>
        <patternFill patternType="none">
          <fgColor indexed="64"/>
          <bgColor indexed="65"/>
        </patternFill>
      </fill>
    </dxf>
    <dxf>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left" vertical="bottom" textRotation="0" wrapText="0" indent="0" relativeIndent="0" justifyLastLine="0" shrinkToFit="0" mergeCell="0" readingOrder="0"/>
    </dxf>
    <dxf>
      <font>
        <b/>
        <i val="0"/>
        <strike val="0"/>
        <condense val="0"/>
        <extend val="0"/>
        <outline val="0"/>
        <shadow val="0"/>
        <u val="none"/>
        <vertAlign val="baseline"/>
        <sz val="11"/>
        <color theme="3"/>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ill>
        <patternFill patternType="none">
          <fgColor indexed="64"/>
          <bgColor indexed="65"/>
        </patternFill>
      </fill>
    </dxf>
    <dxf>
      <font>
        <b val="0"/>
        <i val="0"/>
        <strike val="0"/>
        <condense val="0"/>
        <extend val="0"/>
        <outline val="0"/>
        <shadow val="0"/>
        <u val="none"/>
        <vertAlign val="baseline"/>
        <sz val="11"/>
        <color theme="3" tint="-0.249977111117893"/>
        <name val="Arial"/>
        <scheme val="none"/>
      </font>
      <numFmt numFmtId="35" formatCode="_(* #,##0.00_);_(* \(#,##0.00\);_(* &quot;-&quot;??_);_(@_)"/>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3" tint="-0.249977111117893"/>
        <name val="Arial"/>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3" tint="-0.249977111117893"/>
        <name val="Arial"/>
        <scheme val="none"/>
      </font>
      <numFmt numFmtId="13" formatCode="0%"/>
      <fill>
        <patternFill patternType="solid">
          <fgColor theme="4" tint="0.79998168889431442"/>
          <bgColor theme="4" tint="0.79998168889431442"/>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3" tint="-0.249977111117893"/>
        <name val="Arial"/>
        <scheme val="none"/>
      </font>
      <fill>
        <patternFill patternType="solid">
          <fgColor theme="4" tint="0.79998168889431442"/>
          <bgColor theme="4" tint="0.79998168889431442"/>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1"/>
        <name val="Arial"/>
        <scheme val="none"/>
      </font>
    </dxf>
    <dxf>
      <border outline="0">
        <bottom style="thin">
          <color theme="4" tint="0.39997558519241921"/>
        </bottom>
      </border>
    </dxf>
    <dxf>
      <font>
        <b val="0"/>
        <i val="0"/>
        <strike val="0"/>
        <condense val="0"/>
        <extend val="0"/>
        <outline val="0"/>
        <shadow val="0"/>
        <u val="none"/>
        <vertAlign val="baseline"/>
        <sz val="11"/>
        <color theme="3" tint="-0.249977111117893"/>
        <name val="Arial"/>
        <scheme val="none"/>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b/>
        <i val="0"/>
        <strike val="0"/>
        <condense val="0"/>
        <extend val="0"/>
        <outline val="0"/>
        <shadow val="0"/>
        <u val="none"/>
        <vertAlign val="baseline"/>
        <sz val="11"/>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4" formatCode="[$-409]d\-mmm\-yy;@"/>
      <fill>
        <patternFill patternType="solid">
          <fgColor indexed="64"/>
          <bgColor theme="4" tint="-0.249977111117893"/>
        </patternFill>
      </fill>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name val="Arial"/>
        <scheme val="none"/>
      </font>
    </dxf>
    <dxf>
      <font>
        <b val="0"/>
        <i val="0"/>
        <strike val="0"/>
        <condense val="0"/>
        <extend val="0"/>
        <outline val="0"/>
        <shadow val="0"/>
        <u val="none"/>
        <vertAlign val="baseline"/>
        <sz val="11"/>
        <color theme="0"/>
        <name val="Arial"/>
        <scheme val="none"/>
      </font>
      <numFmt numFmtId="164" formatCode="[$-409]d\-mmm\-yy;@"/>
      <fill>
        <patternFill patternType="solid">
          <fgColor indexed="64"/>
          <bgColor theme="4" tint="-0.249977111117893"/>
        </patternFill>
      </fill>
      <border diagonalUp="0" diagonalDown="0" outline="0">
        <left style="thin">
          <color theme="4" tint="0.39997558519241921"/>
        </left>
        <right/>
        <top/>
        <bottom style="thin">
          <color theme="4" tint="0.39997558519241921"/>
        </bottom>
      </border>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dxf>
    <dxf>
      <font>
        <strike val="0"/>
        <outline val="0"/>
        <shadow val="0"/>
        <u val="none"/>
        <vertAlign val="baseline"/>
        <sz val="11"/>
        <color theme="3" tint="-0.249977111117893"/>
        <name val="Arial"/>
        <scheme val="none"/>
      </font>
      <numFmt numFmtId="5" formatCode="#,##0_);\(#,##0\)"/>
    </dxf>
    <dxf>
      <font>
        <b val="0"/>
        <i val="0"/>
        <strike val="0"/>
        <condense val="0"/>
        <extend val="0"/>
        <outline val="0"/>
        <shadow val="0"/>
        <u val="none"/>
        <vertAlign val="baseline"/>
        <sz val="11"/>
        <color theme="0"/>
        <name val="Arial"/>
        <scheme val="none"/>
      </font>
      <numFmt numFmtId="164" formatCode="[$-409]d\-mmm\-yy;@"/>
      <fill>
        <patternFill patternType="solid">
          <fgColor indexed="64"/>
          <bgColor theme="4" tint="-0.249977111117893"/>
        </patternFill>
      </fill>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name val="Arial"/>
        <scheme val="none"/>
      </font>
      <numFmt numFmtId="164" formatCode="[$-409]d\-mmm\-yy;@"/>
    </dxf>
    <dxf>
      <font>
        <strike val="0"/>
        <outline val="0"/>
        <shadow val="0"/>
        <u val="none"/>
        <vertAlign val="baseline"/>
        <sz val="11"/>
        <name val="Arial"/>
        <scheme val="none"/>
      </font>
      <numFmt numFmtId="164" formatCode="[$-409]d\-mmm\-yy;@"/>
    </dxf>
    <dxf>
      <font>
        <strike val="0"/>
        <outline val="0"/>
        <shadow val="0"/>
        <u val="none"/>
        <vertAlign val="baseline"/>
        <sz val="11"/>
        <name val="Arial"/>
        <scheme val="none"/>
      </font>
      <numFmt numFmtId="164" formatCode="[$-409]d\-mmm\-yy;@"/>
    </dxf>
    <dxf>
      <font>
        <strike val="0"/>
        <outline val="0"/>
        <shadow val="0"/>
        <u val="none"/>
        <vertAlign val="baseline"/>
        <sz val="11"/>
        <name val="Arial"/>
        <scheme val="none"/>
      </font>
      <numFmt numFmtId="0" formatCode="General"/>
    </dxf>
    <dxf>
      <font>
        <strike val="0"/>
        <outline val="0"/>
        <shadow val="0"/>
        <u val="none"/>
        <vertAlign val="baseline"/>
        <sz val="11"/>
        <name val="Arial"/>
        <scheme val="none"/>
      </font>
    </dxf>
    <dxf>
      <font>
        <strike val="0"/>
        <outline val="0"/>
        <shadow val="0"/>
        <u val="none"/>
        <vertAlign val="baseline"/>
        <sz val="11"/>
        <name val="Arial"/>
        <scheme val="none"/>
      </font>
    </dxf>
    <dxf>
      <font>
        <strike val="0"/>
        <outline val="0"/>
        <shadow val="0"/>
        <u val="none"/>
        <vertAlign val="baseline"/>
        <sz val="11"/>
        <name val="Arial"/>
        <scheme val="none"/>
      </font>
    </dxf>
    <dxf>
      <font>
        <b val="0"/>
        <i val="0"/>
        <strike val="0"/>
        <condense val="0"/>
        <extend val="0"/>
        <outline val="0"/>
        <shadow val="0"/>
        <u val="none"/>
        <vertAlign val="baseline"/>
        <sz val="11"/>
        <color theme="1"/>
        <name val="Calibri"/>
        <scheme val="minor"/>
      </font>
      <numFmt numFmtId="35" formatCode="_(* #,##0.00_);_(* \(#,##0.00\);_(* &quot;-&quot;??_);_(@_)"/>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fill>
        <patternFill patternType="none">
          <fgColor indexed="64"/>
          <bgColor indexed="65"/>
        </patternFill>
      </fill>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5" formatCode="_(* #,##0.00_);_(* \(#,##0.00\);_(* &quot;-&quot;??_);_(@_)"/>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5" formatCode="_(* #,##0.00_);_(* \(#,##0.00\);_(* &quot;-&quot;??_);_(@_)"/>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fill>
        <patternFill patternType="none">
          <fgColor indexed="64"/>
          <bgColor indexed="65"/>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fill>
        <patternFill patternType="none">
          <fgColor indexed="64"/>
          <bgColor indexed="65"/>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35" formatCode="_(* #,##0.00_);_(* \(#,##0.00\);_(* &quot;-&quot;??_);_(@_)"/>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fill>
        <patternFill patternType="none">
          <fgColor indexed="64"/>
          <bgColor indexed="65"/>
        </patternFill>
      </fill>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numFmt numFmtId="164" formatCode="[$-409]d\-mmm\-yy;@"/>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color theme="3" tint="-0.249977111117893"/>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color theme="3" tint="-0.249977111117893"/>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vertAlign val="baseline"/>
        <color theme="3" tint="-0.249977111117893"/>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numFmt numFmtId="168" formatCode="0.0%"/>
    </dxf>
    <dxf>
      <font>
        <b val="0"/>
        <i val="0"/>
        <strike val="0"/>
        <condense val="0"/>
        <extend val="0"/>
        <outline val="0"/>
        <shadow val="0"/>
        <u val="none"/>
        <vertAlign val="baseline"/>
        <sz val="10"/>
        <color theme="1"/>
        <name val="Arial"/>
        <scheme val="none"/>
      </font>
      <numFmt numFmtId="168" formatCode="0.0%"/>
      <border diagonalUp="0" diagonalDown="0" outline="0">
        <left/>
        <right/>
        <top/>
        <bottom/>
      </border>
    </dxf>
    <dxf>
      <font>
        <strike val="0"/>
        <outline val="0"/>
        <shadow val="0"/>
        <vertAlign val="baseline"/>
        <sz val="10"/>
        <color theme="3" tint="-0.249977111117893"/>
        <name val="Arial"/>
        <scheme val="none"/>
      </font>
    </dxf>
    <dxf>
      <font>
        <b/>
        <i val="0"/>
        <strike val="0"/>
        <condense val="0"/>
        <extend val="0"/>
        <outline val="0"/>
        <shadow val="0"/>
        <u val="none"/>
        <vertAlign val="baseline"/>
        <sz val="10"/>
        <color auto="1"/>
        <name val="Arial"/>
        <scheme val="none"/>
      </font>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dxf>
    <dxf>
      <font>
        <b/>
        <i val="0"/>
        <strike val="0"/>
        <condense val="0"/>
        <extend val="0"/>
        <outline val="0"/>
        <shadow val="0"/>
        <u val="none"/>
        <vertAlign val="baseline"/>
        <sz val="10"/>
        <color auto="1"/>
        <name val="Arial"/>
        <scheme val="none"/>
      </font>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i val="0"/>
        <strike val="0"/>
        <condense val="0"/>
        <extend val="0"/>
        <outline val="0"/>
        <shadow val="0"/>
        <u val="none"/>
        <vertAlign val="baseline"/>
        <sz val="10"/>
        <color auto="1"/>
        <name val="Arial"/>
        <scheme val="none"/>
      </font>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dxf>
    <dxf>
      <font>
        <b/>
        <i val="0"/>
        <strike val="0"/>
        <condense val="0"/>
        <extend val="0"/>
        <outline val="0"/>
        <shadow val="0"/>
        <u val="none"/>
        <vertAlign val="baseline"/>
        <sz val="10"/>
        <color auto="1"/>
        <name val="Arial"/>
        <scheme val="none"/>
      </font>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dxf>
    <dxf>
      <font>
        <b/>
        <i val="0"/>
        <strike val="0"/>
        <condense val="0"/>
        <extend val="0"/>
        <outline val="0"/>
        <shadow val="0"/>
        <u val="none"/>
        <vertAlign val="baseline"/>
        <sz val="10"/>
        <color auto="1"/>
        <name val="Arial"/>
        <scheme val="none"/>
      </font>
      <alignment horizontal="center" vertical="bottom" textRotation="0" wrapText="0" indent="0" relativeIndent="0" justifyLastLine="0" shrinkToFit="0" mergeCell="0" readingOrder="0"/>
      <border diagonalUp="0" diagonalDown="0" outline="0">
        <left/>
        <right/>
        <top/>
        <bottom/>
      </border>
    </dxf>
    <dxf>
      <font>
        <strike val="0"/>
        <outline val="0"/>
        <shadow val="0"/>
        <vertAlign val="baseline"/>
        <sz val="10"/>
        <color theme="3" tint="-0.249977111117893"/>
        <name val="Arial"/>
        <scheme val="none"/>
      </font>
    </dxf>
    <dxf>
      <font>
        <b/>
        <i val="0"/>
        <strike val="0"/>
        <condense val="0"/>
        <extend val="0"/>
        <outline val="0"/>
        <shadow val="0"/>
        <u val="none"/>
        <vertAlign val="baseline"/>
        <sz val="10"/>
        <color auto="1"/>
        <name val="Arial"/>
        <scheme val="none"/>
      </font>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i val="0"/>
        <strike val="0"/>
        <condense val="0"/>
        <extend val="0"/>
        <outline val="0"/>
        <shadow val="0"/>
        <u val="none"/>
        <vertAlign val="baseline"/>
        <sz val="10"/>
        <color auto="1"/>
        <name val="Arial"/>
        <scheme val="none"/>
      </font>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alignment textRotation="0" indent="0" relativeIndent="0" justifyLastLine="0" shrinkToFit="0" readingOrder="0"/>
    </dxf>
    <dxf>
      <font>
        <b/>
        <i val="0"/>
        <strike val="0"/>
        <condense val="0"/>
        <extend val="0"/>
        <outline val="0"/>
        <shadow val="0"/>
        <u val="none"/>
        <vertAlign val="baseline"/>
        <sz val="10"/>
        <color theme="3" tint="-0.249977111117893"/>
        <name val="Arial"/>
        <scheme val="none"/>
      </font>
      <alignment horizontal="center" vertical="bottom" textRotation="0" wrapText="0" indent="0" relativeIndent="0" justifyLastLine="0" shrinkToFit="0" mergeCell="0" readingOrder="0"/>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1"/>
        <name val="Arial"/>
        <scheme val="none"/>
      </font>
      <numFmt numFmtId="167" formatCode="_(* #,##0_);_(* \(#,##0\);_(* &quot;-&quot;??_);_(@_)"/>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theme="1"/>
        <name val="Arial"/>
        <scheme val="none"/>
      </font>
      <numFmt numFmtId="167" formatCode="_(* #,##0_);_(* \(#,##0\);_(* &quot;-&quot;??_);_(@_)"/>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theme="1"/>
        <name val="Arial"/>
        <scheme val="none"/>
      </font>
      <numFmt numFmtId="167" formatCode="_(* #,##0_);_(* \(#,##0\);_(* &quot;-&quot;??_);_(@_)"/>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theme="1"/>
        <name val="Arial"/>
        <scheme val="none"/>
      </font>
      <numFmt numFmtId="167" formatCode="_(* #,##0_);_(* \(#,##0\);_(* &quot;-&quot;??_);_(@_)"/>
      <border diagonalUp="0" diagonalDown="0" outline="0">
        <left/>
        <right/>
        <top/>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0"/>
        <color theme="3" tint="-0.249977111117893"/>
        <name val="Arial"/>
        <scheme val="none"/>
      </font>
      <numFmt numFmtId="167" formatCode="_(* #,##0_);_(* \(#,##0\);_(* &quot;-&quot;??_);_(@_)"/>
    </dxf>
    <dxf>
      <font>
        <b val="0"/>
        <i val="0"/>
        <strike val="0"/>
        <condense val="0"/>
        <extend val="0"/>
        <outline val="0"/>
        <shadow val="0"/>
        <u val="none"/>
        <vertAlign val="baseline"/>
        <sz val="12"/>
        <color theme="3" tint="-0.249977111117893"/>
        <name val="Arial"/>
        <scheme val="none"/>
      </font>
      <numFmt numFmtId="168" formatCode="0.0%"/>
    </dxf>
    <dxf>
      <font>
        <b val="0"/>
        <i val="0"/>
        <strike val="0"/>
        <condense val="0"/>
        <extend val="0"/>
        <outline val="0"/>
        <shadow val="0"/>
        <u val="none"/>
        <vertAlign val="baseline"/>
        <sz val="10"/>
        <color auto="1"/>
        <name val="Arial"/>
        <scheme val="none"/>
      </font>
      <border diagonalUp="0" diagonalDown="0" outline="0">
        <left/>
        <right/>
        <top/>
        <bottom/>
      </border>
    </dxf>
    <dxf>
      <font>
        <strike val="0"/>
        <outline val="0"/>
        <shadow val="0"/>
        <u val="none"/>
        <vertAlign val="baseline"/>
        <sz val="12"/>
        <color theme="3" tint="-0.249977111117893"/>
        <name val="Arial"/>
        <scheme val="none"/>
      </font>
    </dxf>
    <dxf>
      <font>
        <b/>
        <i val="0"/>
        <strike val="0"/>
        <condense val="0"/>
        <extend val="0"/>
        <outline val="0"/>
        <shadow val="0"/>
        <u val="none"/>
        <vertAlign val="baseline"/>
        <sz val="10"/>
        <color auto="1"/>
        <name val="Arial"/>
        <scheme val="none"/>
      </font>
      <numFmt numFmtId="167" formatCode="_(* #,##0_);_(* \(#,##0\);_(* &quot;-&quot;??_);_(@_)"/>
      <border diagonalUp="0" diagonalDown="0" outline="0">
        <left/>
        <right/>
        <top/>
        <bottom/>
      </border>
    </dxf>
    <dxf>
      <font>
        <b val="0"/>
        <i val="0"/>
        <strike val="0"/>
        <condense val="0"/>
        <extend val="0"/>
        <outline val="0"/>
        <shadow val="0"/>
        <u val="none"/>
        <vertAlign val="baseline"/>
        <sz val="12"/>
        <color theme="3" tint="-0.249977111117893"/>
        <name val="Arial"/>
        <scheme val="none"/>
      </font>
      <numFmt numFmtId="168" formatCode="0.0%"/>
    </dxf>
    <dxf>
      <font>
        <b/>
        <i val="0"/>
        <strike val="0"/>
        <condense val="0"/>
        <extend val="0"/>
        <outline val="0"/>
        <shadow val="0"/>
        <u val="none"/>
        <vertAlign val="baseline"/>
        <sz val="10"/>
        <color auto="1"/>
        <name val="Arial"/>
        <scheme val="none"/>
      </font>
      <numFmt numFmtId="167" formatCode="_(* #,##0_);_(* \(#,##0\);_(* &quot;-&quot;??_);_(@_)"/>
      <border diagonalUp="0" diagonalDown="0" outline="0">
        <left/>
        <right/>
        <top/>
        <bottom/>
      </border>
    </dxf>
    <dxf>
      <font>
        <strike val="0"/>
        <outline val="0"/>
        <shadow val="0"/>
        <u val="none"/>
        <vertAlign val="baseline"/>
        <sz val="12"/>
        <color theme="3" tint="-0.249977111117893"/>
        <name val="Arial"/>
        <scheme val="none"/>
      </font>
    </dxf>
    <dxf>
      <font>
        <b/>
        <i val="0"/>
        <strike val="0"/>
        <condense val="0"/>
        <extend val="0"/>
        <outline val="0"/>
        <shadow val="0"/>
        <u val="none"/>
        <vertAlign val="baseline"/>
        <sz val="10"/>
        <color auto="1"/>
        <name val="Arial"/>
        <scheme val="none"/>
      </font>
      <numFmt numFmtId="167" formatCode="_(* #,##0_);_(* \(#,##0\);_(* &quot;-&quot;??_);_(@_)"/>
      <border diagonalUp="0" diagonalDown="0" outline="0">
        <left/>
        <right/>
        <top/>
        <bottom/>
      </border>
    </dxf>
    <dxf>
      <font>
        <b val="0"/>
        <i val="0"/>
        <strike val="0"/>
        <condense val="0"/>
        <extend val="0"/>
        <outline val="0"/>
        <shadow val="0"/>
        <u val="none"/>
        <vertAlign val="baseline"/>
        <sz val="12"/>
        <color theme="3" tint="-0.249977111117893"/>
        <name val="Arial"/>
        <scheme val="none"/>
      </font>
      <numFmt numFmtId="168" formatCode="0.0%"/>
    </dxf>
    <dxf>
      <font>
        <b/>
        <i val="0"/>
        <strike val="0"/>
        <condense val="0"/>
        <extend val="0"/>
        <outline val="0"/>
        <shadow val="0"/>
        <u val="none"/>
        <vertAlign val="baseline"/>
        <sz val="10"/>
        <color auto="1"/>
        <name val="Arial"/>
        <scheme val="none"/>
      </font>
      <numFmt numFmtId="167" formatCode="_(* #,##0_);_(* \(#,##0\);_(* &quot;-&quot;??_);_(@_)"/>
      <border diagonalUp="0" diagonalDown="0" outline="0">
        <left/>
        <right/>
        <top/>
        <bottom/>
      </border>
    </dxf>
    <dxf>
      <font>
        <strike val="0"/>
        <outline val="0"/>
        <shadow val="0"/>
        <u val="none"/>
        <vertAlign val="baseline"/>
        <sz val="12"/>
        <color theme="3" tint="-0.249977111117893"/>
        <name val="Arial"/>
        <scheme val="none"/>
      </font>
    </dxf>
    <dxf>
      <font>
        <b/>
        <i val="0"/>
        <strike val="0"/>
        <condense val="0"/>
        <extend val="0"/>
        <outline val="0"/>
        <shadow val="0"/>
        <u val="none"/>
        <vertAlign val="baseline"/>
        <sz val="10"/>
        <color auto="1"/>
        <name val="Arial"/>
        <scheme val="none"/>
      </font>
      <numFmt numFmtId="167" formatCode="_(* #,##0_);_(* \(#,##0\);_(* &quot;-&quot;??_);_(@_)"/>
      <border diagonalUp="0" diagonalDown="0" outline="0">
        <left/>
        <right/>
        <top/>
        <bottom/>
      </border>
    </dxf>
    <dxf>
      <font>
        <strike val="0"/>
        <outline val="0"/>
        <shadow val="0"/>
        <u val="none"/>
        <vertAlign val="baseline"/>
        <sz val="12"/>
        <color theme="3" tint="-0.249977111117893"/>
        <name val="Arial"/>
        <scheme val="none"/>
      </font>
    </dxf>
    <dxf>
      <font>
        <b/>
        <i val="0"/>
        <strike val="0"/>
        <condense val="0"/>
        <extend val="0"/>
        <outline val="0"/>
        <shadow val="0"/>
        <u val="none"/>
        <vertAlign val="baseline"/>
        <sz val="10"/>
        <color auto="1"/>
        <name val="Arial"/>
        <scheme val="none"/>
      </font>
      <numFmt numFmtId="167" formatCode="_(* #,##0_);_(* \(#,##0\);_(* &quot;-&quot;??_);_(@_)"/>
      <border diagonalUp="0" diagonalDown="0" outline="0">
        <left/>
        <right/>
        <top/>
        <bottom/>
      </border>
    </dxf>
    <dxf>
      <font>
        <b/>
        <i val="0"/>
        <strike val="0"/>
        <condense val="0"/>
        <extend val="0"/>
        <outline val="0"/>
        <shadow val="0"/>
        <u val="none"/>
        <vertAlign val="baseline"/>
        <sz val="12"/>
        <color theme="3" tint="-0.249977111117893"/>
        <name val="Arial"/>
        <scheme val="none"/>
      </font>
    </dxf>
    <dxf>
      <font>
        <b/>
        <i val="0"/>
        <strike val="0"/>
        <condense val="0"/>
        <extend val="0"/>
        <outline val="0"/>
        <shadow val="0"/>
        <u val="none"/>
        <vertAlign val="baseline"/>
        <sz val="10"/>
        <color auto="1"/>
        <name val="Arial"/>
        <scheme val="none"/>
      </font>
      <border diagonalUp="0" diagonalDown="0" outline="0">
        <left/>
        <right/>
        <top/>
        <bottom/>
      </border>
    </dxf>
    <dxf>
      <font>
        <b val="0"/>
        <i val="0"/>
        <strike val="0"/>
        <condense val="0"/>
        <extend val="0"/>
        <outline val="0"/>
        <shadow val="0"/>
        <u val="none"/>
        <vertAlign val="baseline"/>
        <sz val="12"/>
        <color theme="3" tint="-0.249977111117893"/>
        <name val="Arial"/>
        <scheme val="none"/>
      </font>
      <numFmt numFmtId="167" formatCode="_(* #,##0_);_(* \(#,##0\);_(* &quot;-&quot;??_);_(@_)"/>
    </dxf>
    <dxf>
      <font>
        <b/>
        <i val="0"/>
        <strike val="0"/>
        <condense val="0"/>
        <extend val="0"/>
        <outline val="0"/>
        <shadow val="0"/>
        <u val="none"/>
        <vertAlign val="baseline"/>
        <sz val="12"/>
        <color theme="3" tint="-0.249977111117893"/>
        <name val="Arial"/>
        <scheme val="none"/>
      </font>
      <numFmt numFmtId="167" formatCode="_(* #,##0_);_(* \(#,##0\);_(* &quot;-&quot;??_);_(@_)"/>
    </dxf>
    <dxf>
      <fill>
        <patternFill>
          <bgColor rgb="FFFFFF00"/>
        </patternFill>
      </fill>
    </dxf>
    <dxf>
      <fill>
        <patternFill>
          <bgColor rgb="FF92D050"/>
        </patternFill>
      </fill>
    </dxf>
    <dxf>
      <fill>
        <patternFill>
          <bgColor theme="5" tint="0.39994506668294322"/>
        </patternFill>
      </fill>
    </dxf>
    <dxf>
      <fill>
        <patternFill>
          <bgColor theme="3" tint="0.79998168889431442"/>
        </patternFill>
      </fill>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border outline="0">
        <bottom style="thin">
          <color theme="4"/>
        </bottom>
      </border>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1"/>
        <color theme="3" tint="-0.249977111117893"/>
        <name val="Calibri"/>
        <scheme val="minor"/>
      </font>
    </dxf>
    <dxf>
      <border outline="0">
        <bottom style="thin">
          <color theme="4"/>
        </bottom>
      </border>
    </dxf>
    <dxf>
      <font>
        <b val="0"/>
        <i val="0"/>
        <strike val="0"/>
        <condense val="0"/>
        <extend val="0"/>
        <outline val="0"/>
        <shadow val="0"/>
        <u val="none"/>
        <vertAlign val="baseline"/>
        <sz val="11"/>
        <color theme="3" tint="-0.249977111117893"/>
        <name val="Calibri"/>
        <scheme val="minor"/>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border outline="0">
        <bottom style="thin">
          <color theme="4"/>
        </bottom>
      </border>
    </dxf>
    <dxf>
      <font>
        <b val="0"/>
        <i val="0"/>
        <strike val="0"/>
        <condense val="0"/>
        <extend val="0"/>
        <outline val="0"/>
        <shadow val="0"/>
        <u val="none"/>
        <vertAlign val="baseline"/>
        <sz val="10"/>
        <color theme="3" tint="-0.249977111117893"/>
        <name val="Arial"/>
        <scheme val="none"/>
      </font>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solid">
          <fgColor theme="4" tint="0.79998168889431442"/>
          <bgColor theme="4" tint="0.79998168889431442"/>
        </patternFill>
      </fill>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solid">
          <fgColor theme="4" tint="0.79998168889431442"/>
          <bgColor theme="4" tint="0.79998168889431442"/>
        </patternFill>
      </fill>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solid">
          <fgColor theme="4" tint="0.79998168889431442"/>
          <bgColor theme="4" tint="0.79998168889431442"/>
        </patternFill>
      </fill>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solid">
          <fgColor theme="4" tint="0.79998168889431442"/>
          <bgColor theme="4" tint="0.79998168889431442"/>
        </patternFill>
      </fill>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dxf>
    <dxf>
      <border outline="0">
        <bottom style="thin">
          <color theme="4"/>
        </bottom>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alignment horizontal="center" vertical="bottom" textRotation="0" wrapText="0" indent="0" relativeIndent="0" justifyLastLine="0" shrinkToFit="0" mergeCell="0" readingOrder="0"/>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5" formatCode="#,##0_);\(#,##0\)"/>
      <fill>
        <patternFill patternType="none">
          <fgColor indexed="64"/>
          <bgColor indexed="65"/>
        </patternFill>
      </fill>
      <alignment horizontal="left" vertical="bottom" textRotation="0" wrapText="0" indent="0" relativeIndent="0" justifyLastLine="0" shrinkToFit="0" mergeCell="0" readingOrder="0"/>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5" formatCode="#,##0_);\(#,##0\)"/>
      <fill>
        <patternFill patternType="none">
          <fgColor indexed="64"/>
          <bgColor indexed="65"/>
        </patternFill>
      </fill>
      <alignment horizontal="left" vertical="bottom" textRotation="0" wrapText="0" indent="0" relativeIndent="0" justifyLastLine="0" shrinkToFit="0" mergeCell="0" readingOrder="0"/>
      <border diagonalUp="0" diagonalDown="0">
        <left/>
        <right/>
        <top/>
        <bottom style="thick">
          <color theme="3" tint="-0.24994659260841701"/>
        </bottom>
        <vertical/>
        <horizontal/>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fill>
        <patternFill patternType="none">
          <fgColor indexed="64"/>
          <bgColor indexed="65"/>
        </patternFill>
      </fill>
      <alignment horizontal="center" vertical="bottom" textRotation="0" wrapText="0" indent="0" relativeIndent="0" justifyLastLine="0" shrinkToFit="0" mergeCell="0" readingOrder="0"/>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outline="0">
        <left/>
        <right/>
        <top/>
        <bottom/>
      </border>
    </dxf>
    <dxf>
      <border outline="0">
        <bottom style="thin">
          <color theme="4"/>
        </bottom>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auto="1"/>
        <name val="Tahoma"/>
        <scheme val="none"/>
      </font>
      <numFmt numFmtId="168" formatCode="0.0%"/>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auto="1"/>
        <name val="Tahoma"/>
        <scheme val="none"/>
      </font>
      <numFmt numFmtId="168" formatCode="0.0%"/>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numFmt numFmtId="35" formatCode="_(* #,##0.00_);_(* \(#,##0.00\);_(* &quot;-&quot;??_);_(@_)"/>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auto="1"/>
        <name val="Tahoma"/>
        <scheme val="none"/>
      </font>
      <numFmt numFmtId="168" formatCode="0.0%"/>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auto="1"/>
        <name val="Tahoma"/>
        <scheme val="none"/>
      </font>
      <numFmt numFmtId="168" formatCode="0.0%"/>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numFmt numFmtId="35" formatCode="_(* #,##0.00_);_(* \(#,##0.00\);_(* &quot;-&quot;??_);_(@_)"/>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left/>
        <right/>
        <top/>
        <bottom style="thick">
          <color theme="3" tint="-0.24994659260841701"/>
        </bottom>
      </border>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5" formatCode="#,##0_);\(#,##0\)"/>
      <fill>
        <patternFill patternType="none">
          <fgColor indexed="64"/>
          <bgColor indexed="65"/>
        </patternFill>
      </fill>
      <alignment horizontal="left" vertical="bottom" textRotation="0" wrapText="0" indent="0" relativeIndent="0" justifyLastLine="0" shrinkToFit="0" mergeCell="0" readingOrder="0"/>
      <border diagonalUp="0" diagonalDown="0">
        <left/>
        <right/>
        <top/>
        <bottom style="thick">
          <color theme="3" tint="-0.24994659260841701"/>
        </bottom>
      </border>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8" formatCode="0.0%"/>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5" formatCode="#,##0_);\(#,##0\)"/>
      <fill>
        <patternFill patternType="none">
          <fgColor indexed="64"/>
          <bgColor indexed="65"/>
        </patternFill>
      </fill>
      <alignment horizontal="left" vertical="bottom" textRotation="0" wrapText="0" indent="0" relativeIndent="0" justifyLastLine="0" shrinkToFit="0" mergeCell="0" readingOrder="0"/>
      <border diagonalUp="0" diagonalDown="0">
        <left/>
        <right/>
        <top/>
        <bottom style="thick">
          <color theme="3" tint="-0.24994659260841701"/>
        </bottom>
      </border>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167" formatCode="_(* #,##0_);_(* \(#,##0\);_(* &quot;-&quot;??_);_(@_)"/>
      <fill>
        <patternFill patternType="none">
          <fgColor indexed="64"/>
          <bgColor indexed="65"/>
        </patternFill>
      </fill>
      <alignment horizontal="center" vertical="bottom" textRotation="0" wrapText="0" indent="0" relativeIndent="0" justifyLastLine="0" shrinkToFit="0" mergeCell="0" readingOrder="0"/>
    </dxf>
    <dxf>
      <font>
        <b/>
        <i val="0"/>
        <strike val="0"/>
        <condense val="0"/>
        <extend val="0"/>
        <outline val="0"/>
        <shadow val="0"/>
        <u val="none"/>
        <vertAlign val="baseline"/>
        <sz val="10"/>
        <color auto="1"/>
        <name val="Tahoma"/>
        <scheme val="none"/>
      </font>
      <fill>
        <patternFill patternType="none">
          <fgColor indexed="64"/>
          <bgColor indexed="65"/>
        </patternFill>
      </fill>
      <alignment horizontal="center" vertical="bottom" textRotation="0" wrapText="0" indent="0" relativeIndent="0" justifyLastLine="0" shrinkToFit="0" readingOrder="0"/>
      <border diagonalUp="0" diagonalDown="0" outline="0">
        <left/>
        <right/>
        <top/>
        <bottom/>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 vertical="bottom" textRotation="0" wrapText="0" indent="0" relativeIndent="0" justifyLastLine="0" shrinkToFit="0" readingOrder="0"/>
    </dxf>
    <dxf>
      <font>
        <b val="0"/>
        <i val="0"/>
        <strike val="0"/>
        <condense val="0"/>
        <extend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auto="1"/>
        <name val="Tahoma"/>
        <scheme val="none"/>
      </font>
      <numFmt numFmtId="168" formatCode="0.0%"/>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numFmt numFmtId="168" formatCode="0.0%"/>
      <fill>
        <patternFill patternType="none">
          <fgColor indexed="64"/>
          <bgColor indexed="65"/>
        </patternFill>
      </fill>
    </dxf>
    <dxf>
      <font>
        <b/>
        <i val="0"/>
        <strike val="0"/>
        <condense val="0"/>
        <extend val="0"/>
        <outline val="0"/>
        <shadow val="0"/>
        <u val="none"/>
        <vertAlign val="baseline"/>
        <sz val="10"/>
        <color auto="1"/>
        <name val="Tahoma"/>
        <scheme val="none"/>
      </font>
      <numFmt numFmtId="168" formatCode="0.0%"/>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numFmt numFmtId="35" formatCode="_(* #,##0.00_);_(* \(#,##0.00\);_(* &quot;-&quot;??_);_(@_)"/>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Tahoma"/>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indexed="65"/>
        </patternFill>
      </fill>
    </dxf>
    <dxf>
      <font>
        <strike val="0"/>
        <outline val="0"/>
        <shadow val="0"/>
        <vertAlign val="baseline"/>
        <sz val="10"/>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outline="0">
        <left/>
        <right/>
        <top/>
        <bottom/>
      </border>
    </dxf>
    <dxf>
      <font>
        <strike val="0"/>
        <outline val="0"/>
        <shadow val="0"/>
        <vertAlign val="baseline"/>
        <sz val="10"/>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outline="0">
        <left/>
        <right/>
        <top/>
        <bottom/>
      </border>
    </dxf>
    <dxf>
      <font>
        <strike val="0"/>
        <outline val="0"/>
        <shadow val="0"/>
        <vertAlign val="baseline"/>
        <sz val="10"/>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outline="0">
        <left/>
        <right/>
        <top/>
        <bottom/>
      </border>
    </dxf>
    <dxf>
      <font>
        <strike val="0"/>
        <outline val="0"/>
        <shadow val="0"/>
        <vertAlign val="baseline"/>
        <sz val="10"/>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outline="0">
        <left/>
        <right/>
        <top/>
        <bottom/>
      </border>
    </dxf>
    <dxf>
      <font>
        <strike val="0"/>
        <outline val="0"/>
        <shadow val="0"/>
        <vertAlign val="baseline"/>
        <sz val="10"/>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outline="0">
        <left/>
        <right/>
        <top/>
        <bottom/>
      </border>
    </dxf>
    <dxf>
      <font>
        <strike val="0"/>
        <outline val="0"/>
        <shadow val="0"/>
        <vertAlign val="baseline"/>
        <sz val="10"/>
        <name val="Arial"/>
        <scheme val="none"/>
      </font>
      <fill>
        <patternFill>
          <fgColor indexed="64"/>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border diagonalUp="0" diagonalDown="0" outline="0">
        <left/>
        <right/>
        <top/>
        <bottom/>
      </border>
    </dxf>
    <dxf>
      <font>
        <strike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strike val="0"/>
        <outline val="0"/>
        <shadow val="0"/>
        <vertAlign val="baseline"/>
        <sz val="10"/>
        <color theme="3" tint="-0.249977111117893"/>
        <name val="Arial"/>
        <scheme val="none"/>
      </font>
      <numFmt numFmtId="35" formatCode="_(* #,##0.00_);_(* \(#,##0.00\);_(* &quot;-&quot;??_);_(@_)"/>
      <fill>
        <patternFill>
          <fgColor indexed="64"/>
        </patternFill>
      </fill>
      <alignment textRotation="0" indent="0" relativeIndent="0" justifyLastLine="0" shrinkToFit="0" mergeCell="0" readingOrder="0"/>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Continuous" vertical="bottom" textRotation="0" wrapText="0" indent="0" relativeIndent="0" justifyLastLine="0" shrinkToFit="0" mergeCell="0" readingOrder="0"/>
    </dxf>
    <dxf>
      <font>
        <strike val="0"/>
        <outline val="0"/>
        <shadow val="0"/>
        <vertAlign val="baseline"/>
        <sz val="10"/>
        <color theme="3" tint="-0.249977111117893"/>
        <name val="Arial"/>
        <scheme val="none"/>
      </font>
      <numFmt numFmtId="35" formatCode="_(* #,##0.00_);_(* \(#,##0.00\);_(* &quot;-&quot;??_);_(@_)"/>
      <fill>
        <patternFill>
          <fgColor indexed="64"/>
        </patternFill>
      </fill>
      <alignment textRotation="0" indent="0" relativeIndent="0" justifyLastLine="0" shrinkToFit="0" mergeCell="0" readingOrder="0"/>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Continuous" vertical="bottom" textRotation="0" wrapText="0" indent="0" relativeIndent="0" justifyLastLine="0" shrinkToFit="0" mergeCell="0" readingOrder="0"/>
    </dxf>
    <dxf>
      <font>
        <b/>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strike val="0"/>
        <outline val="0"/>
        <shadow val="0"/>
        <vertAlign val="baseline"/>
        <sz val="10"/>
        <color theme="3" tint="-0.249977111117893"/>
        <name val="Arial"/>
        <scheme val="none"/>
      </font>
      <fill>
        <patternFill>
          <fgColor indexed="64"/>
        </patternFill>
      </fill>
      <alignment textRotation="0" indent="0" relativeIndent="0" justifyLastLine="0" shrinkToFit="0" mergeCell="0" readingOrder="0"/>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Continuous" vertical="bottom" textRotation="0" wrapText="0" indent="0" relativeIndent="0" justifyLastLine="0" shrinkToFit="0" mergeCell="0" readingOrder="0"/>
    </dxf>
    <dxf>
      <font>
        <b/>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strike val="0"/>
        <outline val="0"/>
        <shadow val="0"/>
        <vertAlign val="baseline"/>
        <sz val="10"/>
        <color theme="3" tint="-0.249977111117893"/>
        <name val="Arial"/>
        <scheme val="none"/>
      </font>
      <fill>
        <patternFill>
          <fgColor indexed="64"/>
        </patternFill>
      </fill>
      <alignment textRotation="0" indent="0" relativeIndent="0" justifyLastLine="0" shrinkToFit="0" mergeCell="0" readingOrder="0"/>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Continuous" vertical="bottom" textRotation="0" wrapText="0" indent="0" relativeIndent="0" justifyLastLine="0" shrinkToFit="0" mergeCell="0" readingOrder="0"/>
    </dxf>
    <dxf>
      <font>
        <b/>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strike val="0"/>
        <outline val="0"/>
        <shadow val="0"/>
        <vertAlign val="baseline"/>
        <sz val="10"/>
        <color theme="3" tint="-0.249977111117893"/>
        <name val="Arial"/>
        <scheme val="none"/>
      </font>
    </dxf>
    <dxf>
      <font>
        <strike val="0"/>
        <outline val="0"/>
        <shadow val="0"/>
        <vertAlign val="baseline"/>
        <sz val="10"/>
        <color theme="3" tint="-0.249977111117893"/>
        <name val="Arial"/>
        <scheme val="none"/>
      </font>
    </dxf>
    <dxf>
      <font>
        <b/>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auto="1"/>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strike val="0"/>
        <outline val="0"/>
        <shadow val="0"/>
        <vertAlign val="baseline"/>
        <sz val="10"/>
        <color theme="3" tint="-0.249977111117893"/>
        <name val="Arial"/>
        <scheme val="none"/>
      </font>
      <fill>
        <patternFill>
          <fgColor indexed="64"/>
        </patternFill>
      </fill>
      <alignment textRotation="0" indent="0" relativeIndent="0" justifyLastLine="0" shrinkToFit="0" mergeCell="0" readingOrder="0"/>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alignment horizontal="centerContinuous" vertical="bottom" textRotation="0" wrapText="0" indent="0" relativeIndent="0" justifyLastLine="0" shrinkToFit="0" mergeCell="0" readingOrder="0"/>
    </dxf>
    <dxf>
      <font>
        <b val="0"/>
        <i val="0"/>
        <strike val="0"/>
        <condense val="0"/>
        <extend val="0"/>
        <outline val="0"/>
        <shadow val="0"/>
        <u val="none"/>
        <vertAlign val="baseline"/>
        <sz val="11"/>
        <color theme="3" tint="-0.249977111117893"/>
        <name val="Arial"/>
        <scheme val="none"/>
      </font>
      <numFmt numFmtId="35" formatCode="_(* #,##0.00_);_(* \(#,##0.00\);_(* &quot;-&quot;??_);_(@_)"/>
      <fill>
        <patternFill patternType="solid">
          <fgColor theme="4" tint="0.79998168889431442"/>
          <bgColor theme="4" tint="0.79998168889431442"/>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3" tint="-0.249977111117893"/>
        <name val="Arial"/>
        <scheme val="none"/>
      </font>
      <numFmt numFmtId="165" formatCode="_(* #,##0.0000_);_(* \(#,##0.0000\);_(* &quot;-&quot;??_);_(@_)"/>
      <fill>
        <patternFill patternType="solid">
          <fgColor theme="4" tint="0.79998168889431442"/>
          <bgColor theme="4" tint="0.79998168889431442"/>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3" tint="-0.249977111117893"/>
        <name val="Arial"/>
        <scheme val="none"/>
      </font>
      <numFmt numFmtId="13" formatCode="0%"/>
      <fill>
        <patternFill patternType="solid">
          <fgColor theme="4" tint="0.79998168889431442"/>
          <bgColor theme="4" tint="0.79998168889431442"/>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scheme val="none"/>
      </font>
    </dxf>
    <dxf>
      <font>
        <b val="0"/>
        <i val="0"/>
        <strike val="0"/>
        <condense val="0"/>
        <extend val="0"/>
        <outline val="0"/>
        <shadow val="0"/>
        <u val="none"/>
        <vertAlign val="baseline"/>
        <sz val="11"/>
        <color theme="3" tint="-0.249977111117893"/>
        <name val="Arial"/>
        <scheme val="none"/>
      </font>
      <numFmt numFmtId="165" formatCode="_(* #,##0.0000_);_(* \(#,##0.0000\);_(* &quot;-&quot;??_);_(@_)"/>
      <fill>
        <patternFill patternType="solid">
          <fgColor theme="4" tint="0.79998168889431442"/>
          <bgColor theme="4" tint="0.79998168889431442"/>
        </patternFill>
      </fill>
      <border diagonalUp="0" diagonalDown="0" outline="0">
        <left/>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Arial"/>
        <scheme val="none"/>
      </font>
    </dxf>
    <dxf>
      <font>
        <strike val="0"/>
        <outline val="0"/>
        <shadow val="0"/>
        <vertAlign val="baseline"/>
        <name val="Arial"/>
        <scheme val="none"/>
      </font>
      <numFmt numFmtId="164" formatCode="[$-409]d\-mmm\-yy;@"/>
    </dxf>
    <dxf>
      <font>
        <b val="0"/>
        <i val="0"/>
        <strike val="0"/>
        <condense val="0"/>
        <extend val="0"/>
        <outline val="0"/>
        <shadow val="0"/>
        <u val="none"/>
        <vertAlign val="baseline"/>
        <sz val="11"/>
        <color theme="1"/>
        <name val="Arial"/>
        <scheme val="none"/>
      </font>
    </dxf>
    <dxf>
      <border outline="0">
        <bottom style="thin">
          <color theme="4" tint="0.39997558519241921"/>
        </bottom>
      </border>
    </dxf>
    <dxf>
      <font>
        <b val="0"/>
        <i val="0"/>
        <strike val="0"/>
        <condense val="0"/>
        <extend val="0"/>
        <outline val="0"/>
        <shadow val="0"/>
        <u val="none"/>
        <vertAlign val="baseline"/>
        <sz val="11"/>
        <color theme="3" tint="-0.249977111117893"/>
        <name val="Arial"/>
        <scheme val="none"/>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Arial"/>
        <scheme val="none"/>
      </font>
    </dxf>
    <dxf>
      <font>
        <strike val="0"/>
        <outline val="0"/>
        <shadow val="0"/>
        <vertAlign val="baseline"/>
        <name val="Arial"/>
        <scheme val="none"/>
      </font>
    </dxf>
    <dxf>
      <font>
        <b val="0"/>
        <i val="0"/>
        <strike val="0"/>
        <condense val="0"/>
        <extend val="0"/>
        <outline val="0"/>
        <shadow val="0"/>
        <u val="none"/>
        <vertAlign val="baseline"/>
        <sz val="10"/>
        <color theme="3" tint="-0.249977111117893"/>
        <name val="Arial"/>
        <scheme val="none"/>
      </font>
    </dxf>
    <dxf>
      <font>
        <strike val="0"/>
        <outline val="0"/>
        <shadow val="0"/>
        <vertAlign val="baseline"/>
        <name val="Arial"/>
        <scheme val="none"/>
      </font>
    </dxf>
    <dxf>
      <font>
        <b val="0"/>
        <i val="0"/>
        <strike val="0"/>
        <condense val="0"/>
        <extend val="0"/>
        <outline val="0"/>
        <shadow val="0"/>
        <u val="none"/>
        <vertAlign val="baseline"/>
        <sz val="10"/>
        <color theme="3" tint="-0.249977111117893"/>
        <name val="Arial"/>
        <scheme val="none"/>
      </font>
      <numFmt numFmtId="14" formatCode="0.0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left/>
        <right/>
        <top/>
        <bottom style="thick">
          <color theme="3" tint="-0.24994659260841701"/>
        </bottom>
        <vertical/>
        <horizontal/>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alignment horizontal="center" vertical="bottom" textRotation="0" wrapText="0" indent="0" relativeIndent="0" justifyLastLine="0" shrinkToFit="0" mergeCell="0" readingOrder="0"/>
      <border diagonalUp="0" diagonalDown="0">
        <left/>
        <right/>
        <top/>
        <bottom style="thick">
          <color theme="3" tint="-0.24994659260841701"/>
        </bottom>
        <vertical/>
        <horizontal/>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3" tint="-0.249977111117893"/>
        <name val="Calibri"/>
        <scheme val="minor"/>
      </font>
      <numFmt numFmtId="35" formatCode="_(* #,##0.00_);_(* \(#,##0.00\);_(* &quot;-&quot;??_);_(@_)"/>
      <fill>
        <patternFill patternType="none">
          <fgColor indexed="64"/>
          <bgColor indexed="65"/>
        </patternFill>
      </fill>
      <alignment horizontal="general" vertical="bottom"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35" formatCode="_(* #,##0.00_);_(* \(#,##0.00\);_(* &quot;-&quot;??_);_(@_)"/>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35" formatCode="_(* #,##0.00_);_(* \(#,##0.00\);_(* &quot;-&quot;??_);_(@_)"/>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35" formatCode="_(* #,##0.00_);_(* \(#,##0.00\);_(* &quot;-&quot;??_);_(@_)"/>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border diagonalUp="0" diagonalDown="0">
        <left/>
        <right/>
        <top/>
        <bottom style="thick">
          <color theme="3" tint="-0.24994659260841701"/>
        </bottom>
        <vertical/>
        <horizontal/>
      </border>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0" formatCode="General"/>
      <fill>
        <patternFill patternType="none">
          <fgColor indexed="64"/>
          <bgColor indexed="65"/>
        </patternFill>
      </fill>
      <alignment horizontal="left" vertical="bottom" textRotation="0" wrapText="0" indent="0" relativeIndent="0" justifyLastLine="0" shrinkToFit="0" mergeCell="0" readingOrder="0"/>
      <border diagonalUp="0" diagonalDown="0" outline="0">
        <left/>
        <right/>
        <top/>
        <bottom/>
      </border>
      <protection locked="1" hidden="0"/>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border diagonalUp="0" diagonalDown="0">
        <left/>
        <right/>
        <top/>
        <bottom style="thick">
          <color theme="3" tint="-0.24994659260841701"/>
        </bottom>
        <vertical/>
        <horizontal/>
      </border>
    </dxf>
    <dxf>
      <font>
        <b val="0"/>
        <i val="0"/>
        <strike val="0"/>
        <condense val="0"/>
        <extend val="0"/>
        <outline val="0"/>
        <shadow val="0"/>
        <u val="none"/>
        <vertAlign val="baseline"/>
        <sz val="10"/>
        <color theme="3" tint="-0.249977111117893"/>
        <name val="Tahoma"/>
        <scheme val="none"/>
      </font>
      <numFmt numFmtId="5" formatCode="#,##0_);\(#,##0\)"/>
      <fill>
        <patternFill patternType="none">
          <fgColor indexed="64"/>
          <bgColor indexed="65"/>
        </patternFill>
      </fill>
      <alignment horizontal="center" vertical="center"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Tahoma"/>
        <scheme val="none"/>
      </font>
      <fill>
        <patternFill patternType="none">
          <fgColor indexed="64"/>
          <bgColor indexed="65"/>
        </patternFill>
      </fill>
      <border diagonalUp="0" diagonalDown="0" outline="0">
        <left/>
        <right/>
        <top/>
        <bottom/>
      </border>
    </dxf>
    <dxf>
      <font>
        <b val="0"/>
        <i val="0"/>
        <strike val="0"/>
        <condense val="0"/>
        <extend val="0"/>
        <outline val="0"/>
        <shadow val="0"/>
        <u val="none"/>
        <vertAlign val="baseline"/>
        <sz val="11"/>
        <color theme="3" tint="-0.249977111117893"/>
        <name val="Calibri"/>
        <scheme val="minor"/>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solid">
          <fgColor theme="4" tint="0.79998168889431442"/>
          <bgColor theme="4" tint="0.79998168889431442"/>
        </patternFill>
      </fill>
      <border diagonalUp="0" diagonalDown="0" outline="0">
        <left/>
        <right/>
        <top/>
        <bottom/>
      </border>
    </dxf>
    <dxf>
      <font>
        <b/>
        <i val="0"/>
        <strike val="0"/>
        <condense val="0"/>
        <extend val="0"/>
        <outline val="0"/>
        <shadow val="0"/>
        <u val="none"/>
        <vertAlign val="baseline"/>
        <sz val="10"/>
        <color theme="0"/>
        <name val="Arial"/>
        <scheme val="none"/>
      </font>
      <numFmt numFmtId="164" formatCode="[$-409]d\-mmm\-yy;@"/>
      <fill>
        <patternFill patternType="solid">
          <fgColor indexed="64"/>
          <bgColor theme="4" tint="-0.499984740745262"/>
        </patternFill>
      </fill>
      <alignment horizontal="center" vertical="bottom" textRotation="0" wrapText="0" indent="0" relativeIndent="0" justifyLastLine="0" shrinkToFit="0" mergeCell="0" readingOrder="0"/>
      <border diagonalUp="0" diagonalDown="0" outline="0">
        <left/>
        <right/>
        <top/>
        <bottom/>
      </border>
    </dxf>
    <dxf>
      <font>
        <b/>
        <i val="0"/>
        <strike val="0"/>
        <condense val="0"/>
        <extend val="0"/>
        <outline val="0"/>
        <shadow val="0"/>
        <u val="none"/>
        <vertAlign val="baseline"/>
        <sz val="10"/>
        <color theme="0"/>
        <name val="Arial"/>
        <scheme val="none"/>
      </font>
      <numFmt numFmtId="164" formatCode="[$-409]d\-mmm\-yy;@"/>
      <fill>
        <patternFill patternType="solid">
          <fgColor indexed="64"/>
          <bgColor theme="4" tint="-0.499984740745262"/>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solid">
          <fgColor theme="4" tint="0.79998168889431442"/>
          <bgColor theme="4" tint="0.79998168889431442"/>
        </patternFill>
      </fill>
      <border diagonalUp="0" diagonalDown="0" outline="0">
        <left/>
        <right/>
        <top/>
        <bottom/>
      </border>
    </dxf>
    <dxf>
      <font>
        <b/>
        <i val="0"/>
        <strike val="0"/>
        <condense val="0"/>
        <extend val="0"/>
        <outline val="0"/>
        <shadow val="0"/>
        <u val="none"/>
        <vertAlign val="baseline"/>
        <sz val="10"/>
        <color theme="0"/>
        <name val="Arial"/>
        <scheme val="none"/>
      </font>
      <numFmt numFmtId="164" formatCode="[$-409]d\-mmm\-yy;@"/>
      <fill>
        <patternFill patternType="solid">
          <fgColor indexed="64"/>
          <bgColor theme="4" tint="-0.499984740745262"/>
        </patternFill>
      </fill>
      <alignment horizontal="center" vertical="bottom" textRotation="0" wrapText="0" indent="0" relativeIndent="0" justifyLastLine="0" shrinkToFit="0" mergeCell="0" readingOrder="0"/>
      <border diagonalUp="0" diagonalDown="0" outline="0">
        <left/>
        <right/>
        <top/>
        <bottom/>
      </border>
    </dxf>
    <dxf>
      <font>
        <b/>
        <i val="0"/>
        <strike val="0"/>
        <condense val="0"/>
        <extend val="0"/>
        <outline val="0"/>
        <shadow val="0"/>
        <u val="none"/>
        <vertAlign val="baseline"/>
        <sz val="10"/>
        <color theme="0"/>
        <name val="Arial"/>
        <scheme val="none"/>
      </font>
      <numFmt numFmtId="164" formatCode="[$-409]d\-mmm\-yy;@"/>
      <fill>
        <patternFill patternType="solid">
          <fgColor indexed="64"/>
          <bgColor theme="4" tint="-0.499984740745262"/>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solid">
          <fgColor theme="4" tint="0.79998168889431442"/>
          <bgColor theme="4" tint="0.79998168889431442"/>
        </patternFill>
      </fill>
      <border diagonalUp="0" diagonalDown="0" outline="0">
        <left/>
        <right/>
        <top/>
        <bottom/>
      </border>
    </dxf>
    <dxf>
      <font>
        <b/>
        <i val="0"/>
        <strike val="0"/>
        <condense val="0"/>
        <extend val="0"/>
        <outline val="0"/>
        <shadow val="0"/>
        <u val="none"/>
        <vertAlign val="baseline"/>
        <sz val="10"/>
        <color theme="0"/>
        <name val="Arial"/>
        <scheme val="none"/>
      </font>
      <numFmt numFmtId="164" formatCode="[$-409]d\-mmm\-yy;@"/>
      <fill>
        <patternFill patternType="solid">
          <fgColor indexed="64"/>
          <bgColor theme="4" tint="-0.499984740745262"/>
        </patternFill>
      </fill>
      <alignment horizontal="center" vertical="bottom" textRotation="0" wrapText="0" indent="0" relativeIndent="0" justifyLastLine="0" shrinkToFit="0" mergeCell="0" readingOrder="0"/>
      <border diagonalUp="0" diagonalDown="0" outline="0">
        <left/>
        <right/>
        <top/>
        <bottom/>
      </border>
    </dxf>
    <dxf>
      <font>
        <b/>
        <i val="0"/>
        <strike val="0"/>
        <condense val="0"/>
        <extend val="0"/>
        <outline val="0"/>
        <shadow val="0"/>
        <u val="none"/>
        <vertAlign val="baseline"/>
        <sz val="10"/>
        <color theme="0"/>
        <name val="Arial"/>
        <scheme val="none"/>
      </font>
      <numFmt numFmtId="164" formatCode="[$-409]d\-mmm\-yy;@"/>
      <fill>
        <patternFill patternType="solid">
          <fgColor indexed="64"/>
          <bgColor theme="4" tint="-0.499984740745262"/>
        </patternFill>
      </fill>
      <alignment horizontal="center"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solid">
          <fgColor theme="4" tint="0.79998168889431442"/>
          <bgColor theme="4" tint="0.79998168889431442"/>
        </patternFill>
      </fill>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solid">
          <fgColor theme="4" tint="0.79998168889431442"/>
          <bgColor theme="4" tint="0.79998168889431442"/>
        </patternFill>
      </fill>
      <border diagonalUp="0" diagonalDown="0" outline="0">
        <left/>
        <right/>
        <top/>
        <bottom/>
      </border>
    </dxf>
    <dxf>
      <border outline="0">
        <bottom style="thin">
          <color theme="4"/>
        </bottom>
      </border>
    </dxf>
    <dxf>
      <font>
        <b/>
        <i val="0"/>
        <strike val="0"/>
        <condense val="0"/>
        <extend val="0"/>
        <outline val="0"/>
        <shadow val="0"/>
        <u val="none"/>
        <vertAlign val="baseline"/>
        <sz val="10"/>
        <color theme="0"/>
        <name val="Arial"/>
        <scheme val="none"/>
      </font>
      <numFmt numFmtId="164" formatCode="[$-409]d\-mmm\-yy;@"/>
      <fill>
        <patternFill patternType="solid">
          <fgColor indexed="64"/>
          <bgColor theme="4" tint="-0.499984740745262"/>
        </patternFill>
      </fill>
      <alignment horizontal="center" vertical="bottom" textRotation="0" wrapText="0" indent="0" relativeIndent="0" justifyLastLine="0" shrinkToFit="0" mergeCell="0" readingOrder="0"/>
    </dxf>
    <dxf>
      <font>
        <b val="0"/>
        <i val="0"/>
        <strike val="0"/>
        <condense val="0"/>
        <extend val="0"/>
        <outline val="0"/>
        <shadow val="0"/>
        <u val="none"/>
        <vertAlign val="baseline"/>
        <sz val="10"/>
        <color rgb="FF1C230F"/>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auto="1"/>
        </patternFill>
      </fill>
    </dxf>
    <dxf>
      <font>
        <b/>
        <i val="0"/>
        <strike val="0"/>
        <condense val="0"/>
        <extend val="0"/>
        <outline val="0"/>
        <shadow val="0"/>
        <u val="none"/>
        <vertAlign val="baseline"/>
        <sz val="10"/>
        <color theme="1"/>
        <name val="Arial"/>
        <scheme val="none"/>
      </font>
      <numFmt numFmtId="35" formatCode="_(* #,##0.00_);_(* \(#,##0.00\);_(* &quot;-&quot;??_);_(@_)"/>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numFmt numFmtId="0" formatCode="General"/>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rgb="FF1C230F"/>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strike val="0"/>
        <outline val="0"/>
        <shadow val="0"/>
        <vertAlign val="baseline"/>
        <color theme="3" tint="-0.249977111117893"/>
      </font>
    </dxf>
    <dxf>
      <font>
        <b val="0"/>
        <i val="0"/>
        <strike val="0"/>
        <condense val="0"/>
        <extend val="0"/>
        <outline val="0"/>
        <shadow val="0"/>
        <u val="none"/>
        <vertAlign val="baseline"/>
        <sz val="10"/>
        <color theme="3" tint="-0.249977111117893"/>
        <name val="Arial"/>
        <scheme val="none"/>
      </font>
      <fill>
        <patternFill patternType="none">
          <fgColor rgb="FF000000"/>
          <bgColor rgb="FFFFFFFF"/>
        </patternFill>
      </fill>
    </dxf>
    <dxf>
      <font>
        <strike val="0"/>
        <outline val="0"/>
        <shadow val="0"/>
        <u val="none"/>
        <vertAlign val="baseline"/>
        <sz val="10"/>
        <color theme="3" tint="-0.249977111117893"/>
        <name val="Arial"/>
        <scheme val="none"/>
      </font>
      <fill>
        <patternFill patternType="none">
          <fgColor indexed="64"/>
          <bgColor auto="1"/>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border outline="0">
        <bottom style="thin">
          <color theme="4"/>
        </bottom>
      </border>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numFmt numFmtId="13" formatCode="0%"/>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rgb="FF1C230F"/>
        <name val="Arial"/>
        <scheme val="none"/>
      </font>
      <fill>
        <patternFill patternType="none">
          <fgColor indexed="64"/>
          <bgColor indexed="65"/>
        </patternFill>
      </fill>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numFmt numFmtId="35" formatCode="_(* #,##0.00_);_(* \(#,##0.00\);_(* &quot;-&quot;??_);_(@_)"/>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auto="1"/>
        </patternFill>
      </fill>
    </dxf>
    <dxf>
      <font>
        <b/>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border diagonalUp="0" diagonalDown="0">
        <left/>
        <right style="thin">
          <color theme="4"/>
        </right>
        <top/>
        <bottom style="thin">
          <color theme="4"/>
        </bottom>
        <vertical/>
        <horizontal/>
      </border>
    </dxf>
    <dxf>
      <font>
        <b/>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border diagonalUp="0" diagonalDown="0">
        <left/>
        <right style="thin">
          <color theme="4"/>
        </right>
        <top/>
        <bottom style="thin">
          <color theme="4"/>
        </bottom>
        <vertical/>
        <horizontal/>
      </border>
    </dxf>
    <dxf>
      <font>
        <b/>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border diagonalUp="0" diagonalDown="0">
        <left/>
        <right style="thin">
          <color theme="4"/>
        </right>
        <top/>
        <bottom style="thin">
          <color theme="4"/>
        </bottom>
        <vertical/>
        <horizontal/>
      </border>
    </dxf>
    <dxf>
      <font>
        <b/>
        <i val="0"/>
        <strike val="0"/>
        <condense val="0"/>
        <extend val="0"/>
        <outline val="0"/>
        <shadow val="0"/>
        <u val="none"/>
        <vertAlign val="baseline"/>
        <sz val="10"/>
        <color theme="3" tint="-0.249977111117893"/>
        <name val="Arial"/>
        <scheme val="none"/>
      </font>
      <numFmt numFmtId="5" formatCode="#,##0_);\(#,##0\)"/>
      <fill>
        <patternFill patternType="none">
          <fgColor indexed="64"/>
          <bgColor indexed="65"/>
        </patternFill>
      </fill>
      <border diagonalUp="0" diagonalDown="0">
        <left style="thin">
          <color theme="4"/>
        </left>
        <right style="thin">
          <color theme="4"/>
        </right>
        <top/>
        <bottom style="thin">
          <color theme="4"/>
        </bottom>
        <vertical/>
        <horizontal/>
      </border>
    </dxf>
    <dxf>
      <border outline="0">
        <bottom style="thick">
          <color theme="4" tint="-0.24994659260841701"/>
        </bottom>
      </border>
    </dxf>
    <dxf>
      <font>
        <b/>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numFmt numFmtId="35" formatCode="_(* #,##0.00_);_(* \(#,##0.00\);_(* &quot;-&quot;??_);_(@_)"/>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auto="1"/>
        </patternFill>
      </fill>
    </dxf>
    <dxf>
      <font>
        <b/>
        <i val="0"/>
        <strike val="0"/>
        <condense val="0"/>
        <extend val="0"/>
        <outline val="0"/>
        <shadow val="0"/>
        <u val="none"/>
        <vertAlign val="baseline"/>
        <sz val="10"/>
        <color theme="1"/>
        <name val="Arial"/>
        <scheme val="none"/>
      </font>
      <numFmt numFmtId="35" formatCode="_(* #,##0.00_);_(* \(#,##0.00\);_(* &quot;-&quot;??_);_(@_)"/>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border diagonalUp="0" diagonalDown="0">
        <left/>
        <right/>
        <top/>
        <bottom style="thick">
          <color theme="3" tint="-0.24994659260841701"/>
        </bottom>
      </border>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auto="1"/>
        </patternFill>
      </fill>
    </dxf>
    <dxf>
      <font>
        <strike val="0"/>
        <outline val="0"/>
        <shadow val="0"/>
        <u val="none"/>
        <vertAlign val="baseline"/>
        <sz val="10"/>
        <color theme="3" tint="-0.249977111117893"/>
        <name val="Arial"/>
        <scheme val="none"/>
      </font>
      <fill>
        <patternFill patternType="none">
          <fgColor indexed="64"/>
          <bgColor auto="1"/>
        </patternFill>
      </fill>
    </dxf>
    <dxf>
      <font>
        <b/>
        <i val="0"/>
        <strike val="0"/>
        <condense val="0"/>
        <extend val="0"/>
        <outline val="0"/>
        <shadow val="0"/>
        <u val="none"/>
        <vertAlign val="baseline"/>
        <sz val="10"/>
        <color theme="1"/>
        <name val="Arial"/>
        <scheme val="none"/>
      </font>
      <numFmt numFmtId="35" formatCode="_(* #,##0.00_);_(* \(#,##0.00\);_(* &quot;-&quot;??_);_(@_)"/>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b/>
        <i val="0"/>
        <strike val="0"/>
        <condense val="0"/>
        <extend val="0"/>
        <outline val="0"/>
        <shadow val="0"/>
        <u val="none"/>
        <vertAlign val="baseline"/>
        <sz val="10"/>
        <color theme="1"/>
        <name val="Arial"/>
        <scheme val="none"/>
      </font>
      <alignment horizontal="centerContinuous" vertical="bottom" textRotation="0" wrapText="0" indent="0" relativeIndent="0" justifyLastLine="0" shrinkToFit="0" mergeCell="0" readingOrder="0"/>
      <border diagonalUp="0" diagonalDown="0" outline="0">
        <left/>
        <right/>
        <top/>
        <bottom/>
      </border>
    </dxf>
    <dxf>
      <font>
        <b val="0"/>
        <i val="0"/>
        <strike val="0"/>
        <condense val="0"/>
        <extend val="0"/>
        <outline val="0"/>
        <shadow val="0"/>
        <u val="none"/>
        <vertAlign val="baseline"/>
        <sz val="10"/>
        <color theme="3" tint="-0.249977111117893"/>
        <name val="Arial"/>
        <scheme val="none"/>
      </font>
      <fill>
        <patternFill patternType="none">
          <fgColor indexed="64"/>
          <bgColor indexed="65"/>
        </patternFill>
      </fill>
    </dxf>
    <dxf>
      <font>
        <strike val="0"/>
        <outline val="0"/>
        <shadow val="0"/>
        <u val="none"/>
        <vertAlign val="baseline"/>
        <sz val="10"/>
        <color theme="3" tint="-0.249977111117893"/>
        <name val="Arial"/>
        <scheme val="none"/>
      </font>
      <fill>
        <patternFill patternType="none">
          <fgColor indexed="64"/>
          <bgColor auto="1"/>
        </patternFill>
      </fill>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rgb="FF1C230F"/>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rgb="FF1C230F"/>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al="none"/>
        <vertAlign val="baseline"/>
        <sz val="10"/>
        <color theme="3" tint="-0.249977111117893"/>
        <name val="Arial"/>
        <scheme val="none"/>
      </font>
    </dxf>
    <dxf>
      <font>
        <b val="0"/>
        <i val="0"/>
        <strike val="0"/>
        <condense val="0"/>
        <extend val="0"/>
        <outline val="0"/>
        <shadow val="0"/>
        <u/>
        <vertAlign val="baseline"/>
        <sz val="14"/>
        <color theme="3" tint="-0.249977111117893"/>
        <name val="Calibri"/>
        <scheme val="none"/>
      </font>
      <alignment horizontal="general" vertical="bottom" textRotation="0" wrapText="0" indent="0" relativeIndent="0" justifyLastLine="0" shrinkToFit="0" mergeCell="0" readingOrder="0"/>
      <protection locked="1" hidden="0"/>
    </dxf>
    <dxf>
      <font>
        <b val="0"/>
        <i val="0"/>
        <strike val="0"/>
        <condense val="0"/>
        <extend val="0"/>
        <outline val="0"/>
        <shadow val="0"/>
        <u val="none"/>
        <vertAlign val="baseline"/>
        <sz val="14"/>
        <color theme="1"/>
        <name val="Calibri"/>
        <scheme val="minor"/>
      </font>
    </dxf>
    <dxf>
      <font>
        <b val="0"/>
        <i val="0"/>
        <strike val="0"/>
        <condense val="0"/>
        <extend val="0"/>
        <outline val="0"/>
        <shadow val="0"/>
        <u/>
        <vertAlign val="baseline"/>
        <sz val="14"/>
        <color theme="3" tint="-0.249977111117893"/>
        <name val="Calibri"/>
        <scheme val="none"/>
      </font>
      <alignment horizontal="general" vertical="bottom" textRotation="0" wrapText="0" indent="0" relativeIndent="0" justifyLastLine="0" shrinkToFit="0" mergeCell="0" readingOrder="0"/>
      <protection locked="1" hidden="0"/>
    </dxf>
    <dxf>
      <font>
        <b val="0"/>
        <i val="0"/>
        <strike val="0"/>
        <condense val="0"/>
        <extend val="0"/>
        <outline val="0"/>
        <shadow val="0"/>
        <u val="none"/>
        <vertAlign val="baseline"/>
        <sz val="14"/>
        <color theme="3" tint="-0.249977111117893"/>
        <name val="Calibri"/>
        <scheme val="minor"/>
      </font>
    </dxf>
  </dxfs>
  <tableStyles count="0" defaultTableStyle="TableStyleMedium9" defaultPivotStyle="PivotStyleLight16"/>
  <colors>
    <mruColors>
      <color rgb="FF1C230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chart1.xml><?xml version="1.0" encoding="utf-8"?>
<c:chartSpace xmlns:c="http://schemas.openxmlformats.org/drawingml/2006/chart" xmlns:a="http://schemas.openxmlformats.org/drawingml/2006/main" xmlns:r="http://schemas.openxmlformats.org/officeDocument/2006/relationships">
  <c:lang val="en-US"/>
  <c:style val="11"/>
  <c:chart>
    <c:title>
      <c:tx>
        <c:rich>
          <a:bodyPr/>
          <a:lstStyle/>
          <a:p>
            <a:pPr>
              <a:defRPr/>
            </a:pPr>
            <a:r>
              <a:rPr lang="en-US"/>
              <a:t>2008</a:t>
            </a:r>
          </a:p>
        </c:rich>
      </c:tx>
      <c:layout/>
    </c:title>
    <c:plotArea>
      <c:layout/>
      <c:barChart>
        <c:barDir val="col"/>
        <c:grouping val="percentStacked"/>
        <c:ser>
          <c:idx val="0"/>
          <c:order val="0"/>
          <c:tx>
            <c:strRef>
              <c:f>'8.Solidez'!$C$22</c:f>
              <c:strCache>
                <c:ptCount val="1"/>
                <c:pt idx="0">
                  <c:v>Total activo corriente</c:v>
                </c:pt>
              </c:strCache>
            </c:strRef>
          </c:tx>
          <c:dLbls>
            <c:txPr>
              <a:bodyPr/>
              <a:lstStyle/>
              <a:p>
                <a:pPr>
                  <a:defRPr>
                    <a:solidFill>
                      <a:schemeClr val="bg1"/>
                    </a:solidFill>
                  </a:defRPr>
                </a:pPr>
                <a:endParaRPr lang="en-US"/>
              </a:p>
            </c:txPr>
            <c:showVal val="1"/>
            <c:showSerName val="1"/>
          </c:dLbls>
          <c:val>
            <c:numRef>
              <c:f>'8.Solidez'!$D$22:$E$22</c:f>
              <c:numCache>
                <c:formatCode>General</c:formatCode>
                <c:ptCount val="2"/>
                <c:pt idx="0" formatCode="0%">
                  <c:v>0.60172310582515143</c:v>
                </c:pt>
              </c:numCache>
            </c:numRef>
          </c:val>
        </c:ser>
        <c:ser>
          <c:idx val="1"/>
          <c:order val="1"/>
          <c:tx>
            <c:strRef>
              <c:f>'8.Solidez'!$C$23</c:f>
              <c:strCache>
                <c:ptCount val="1"/>
                <c:pt idx="0">
                  <c:v>Total activos no corrientes</c:v>
                </c:pt>
              </c:strCache>
            </c:strRef>
          </c:tx>
          <c:dLbls>
            <c:txPr>
              <a:bodyPr/>
              <a:lstStyle/>
              <a:p>
                <a:pPr>
                  <a:defRPr>
                    <a:solidFill>
                      <a:schemeClr val="bg1"/>
                    </a:solidFill>
                  </a:defRPr>
                </a:pPr>
                <a:endParaRPr lang="en-US"/>
              </a:p>
            </c:txPr>
            <c:showVal val="1"/>
            <c:showSerName val="1"/>
          </c:dLbls>
          <c:val>
            <c:numRef>
              <c:f>'8.Solidez'!$D$23:$E$23</c:f>
              <c:numCache>
                <c:formatCode>General</c:formatCode>
                <c:ptCount val="2"/>
                <c:pt idx="0" formatCode="0%">
                  <c:v>0.39827689417484852</c:v>
                </c:pt>
              </c:numCache>
            </c:numRef>
          </c:val>
        </c:ser>
        <c:ser>
          <c:idx val="2"/>
          <c:order val="2"/>
          <c:tx>
            <c:strRef>
              <c:f>'8.Solidez'!$C$24</c:f>
              <c:strCache>
                <c:ptCount val="1"/>
                <c:pt idx="0">
                  <c:v>Pasivo corriente</c:v>
                </c:pt>
              </c:strCache>
            </c:strRef>
          </c:tx>
          <c:dLbls>
            <c:txPr>
              <a:bodyPr/>
              <a:lstStyle/>
              <a:p>
                <a:pPr>
                  <a:defRPr b="1"/>
                </a:pPr>
                <a:endParaRPr lang="en-US"/>
              </a:p>
            </c:txPr>
            <c:showVal val="1"/>
            <c:showSerName val="1"/>
          </c:dLbls>
          <c:val>
            <c:numRef>
              <c:f>'8.Solidez'!$D$24:$E$24</c:f>
              <c:numCache>
                <c:formatCode>0%</c:formatCode>
                <c:ptCount val="2"/>
                <c:pt idx="1">
                  <c:v>0.56450590762103059</c:v>
                </c:pt>
              </c:numCache>
            </c:numRef>
          </c:val>
        </c:ser>
        <c:ser>
          <c:idx val="3"/>
          <c:order val="3"/>
          <c:tx>
            <c:strRef>
              <c:f>'8.Solidez'!$C$25</c:f>
              <c:strCache>
                <c:ptCount val="1"/>
                <c:pt idx="0">
                  <c:v>Pasivo a largo plazo</c:v>
                </c:pt>
              </c:strCache>
            </c:strRef>
          </c:tx>
          <c:dLbls>
            <c:showVal val="1"/>
            <c:showSerName val="1"/>
          </c:dLbls>
          <c:val>
            <c:numRef>
              <c:f>'8.Solidez'!$D$25:$E$25</c:f>
              <c:numCache>
                <c:formatCode>0%</c:formatCode>
                <c:ptCount val="2"/>
                <c:pt idx="1">
                  <c:v>0.11039729799331208</c:v>
                </c:pt>
              </c:numCache>
            </c:numRef>
          </c:val>
        </c:ser>
        <c:ser>
          <c:idx val="4"/>
          <c:order val="4"/>
          <c:tx>
            <c:strRef>
              <c:f>'8.Solidez'!$C$26</c:f>
              <c:strCache>
                <c:ptCount val="1"/>
                <c:pt idx="0">
                  <c:v>Total patrimonio</c:v>
                </c:pt>
              </c:strCache>
            </c:strRef>
          </c:tx>
          <c:dLbls>
            <c:showVal val="1"/>
            <c:showSerName val="1"/>
          </c:dLbls>
          <c:val>
            <c:numRef>
              <c:f>'8.Solidez'!$D$26:$E$26</c:f>
              <c:numCache>
                <c:formatCode>0%</c:formatCode>
                <c:ptCount val="2"/>
                <c:pt idx="1">
                  <c:v>0.32509679438565725</c:v>
                </c:pt>
              </c:numCache>
            </c:numRef>
          </c:val>
        </c:ser>
        <c:dLbls>
          <c:showVal val="1"/>
        </c:dLbls>
        <c:gapWidth val="95"/>
        <c:overlap val="100"/>
        <c:axId val="48094592"/>
        <c:axId val="48649344"/>
      </c:barChart>
      <c:catAx>
        <c:axId val="48094592"/>
        <c:scaling>
          <c:orientation val="minMax"/>
        </c:scaling>
        <c:axPos val="b"/>
        <c:numFmt formatCode="General" sourceLinked="1"/>
        <c:majorTickMark val="none"/>
        <c:tickLblPos val="nextTo"/>
        <c:txPr>
          <a:bodyPr rot="0" vert="horz"/>
          <a:lstStyle/>
          <a:p>
            <a:pPr>
              <a:defRPr/>
            </a:pPr>
            <a:endParaRPr lang="en-US"/>
          </a:p>
        </c:txPr>
        <c:crossAx val="48649344"/>
        <c:crosses val="autoZero"/>
        <c:auto val="1"/>
        <c:lblAlgn val="ctr"/>
        <c:lblOffset val="100"/>
      </c:catAx>
      <c:valAx>
        <c:axId val="48649344"/>
        <c:scaling>
          <c:orientation val="minMax"/>
        </c:scaling>
        <c:delete val="1"/>
        <c:axPos val="l"/>
        <c:numFmt formatCode="0%" sourceLinked="1"/>
        <c:tickLblPos val="none"/>
        <c:crossAx val="48094592"/>
        <c:crosses val="autoZero"/>
        <c:crossBetween val="between"/>
      </c:valAx>
    </c:plotArea>
    <c:plotVisOnly val="1"/>
    <c:dispBlanksAs val="gap"/>
  </c:chart>
  <c:printSettings>
    <c:headerFooter/>
    <c:pageMargins b="0.75000000000000355" l="0.70000000000000062" r="0.70000000000000062" t="0.7500000000000035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style val="11"/>
  <c:chart>
    <c:title>
      <c:tx>
        <c:rich>
          <a:bodyPr/>
          <a:lstStyle/>
          <a:p>
            <a:pPr>
              <a:defRPr/>
            </a:pPr>
            <a:r>
              <a:rPr lang="en-US"/>
              <a:t>2009</a:t>
            </a:r>
          </a:p>
        </c:rich>
      </c:tx>
      <c:layout/>
    </c:title>
    <c:plotArea>
      <c:layout/>
      <c:barChart>
        <c:barDir val="col"/>
        <c:grouping val="percentStacked"/>
        <c:ser>
          <c:idx val="0"/>
          <c:order val="0"/>
          <c:tx>
            <c:strRef>
              <c:f>'8.Solidez'!$G$22</c:f>
              <c:strCache>
                <c:ptCount val="1"/>
                <c:pt idx="0">
                  <c:v>Total activo corriente</c:v>
                </c:pt>
              </c:strCache>
            </c:strRef>
          </c:tx>
          <c:dLbls>
            <c:txPr>
              <a:bodyPr/>
              <a:lstStyle/>
              <a:p>
                <a:pPr>
                  <a:defRPr>
                    <a:solidFill>
                      <a:schemeClr val="bg1"/>
                    </a:solidFill>
                  </a:defRPr>
                </a:pPr>
                <a:endParaRPr lang="en-US"/>
              </a:p>
            </c:txPr>
            <c:showVal val="1"/>
            <c:showSerName val="1"/>
          </c:dLbls>
          <c:val>
            <c:numRef>
              <c:f>'8.Solidez'!$H$22:$I$22</c:f>
              <c:numCache>
                <c:formatCode>General</c:formatCode>
                <c:ptCount val="2"/>
                <c:pt idx="0" formatCode="0%">
                  <c:v>0.55322928870937615</c:v>
                </c:pt>
              </c:numCache>
            </c:numRef>
          </c:val>
        </c:ser>
        <c:ser>
          <c:idx val="1"/>
          <c:order val="1"/>
          <c:tx>
            <c:strRef>
              <c:f>'8.Solidez'!$G$23</c:f>
              <c:strCache>
                <c:ptCount val="1"/>
                <c:pt idx="0">
                  <c:v>Total activos no corrientes</c:v>
                </c:pt>
              </c:strCache>
            </c:strRef>
          </c:tx>
          <c:dLbls>
            <c:txPr>
              <a:bodyPr/>
              <a:lstStyle/>
              <a:p>
                <a:pPr>
                  <a:defRPr>
                    <a:solidFill>
                      <a:schemeClr val="bg1"/>
                    </a:solidFill>
                  </a:defRPr>
                </a:pPr>
                <a:endParaRPr lang="en-US"/>
              </a:p>
            </c:txPr>
            <c:showVal val="1"/>
            <c:showSerName val="1"/>
          </c:dLbls>
          <c:val>
            <c:numRef>
              <c:f>'8.Solidez'!$H$23:$I$23</c:f>
              <c:numCache>
                <c:formatCode>General</c:formatCode>
                <c:ptCount val="2"/>
                <c:pt idx="0" formatCode="0%">
                  <c:v>0.44677071129062385</c:v>
                </c:pt>
              </c:numCache>
            </c:numRef>
          </c:val>
        </c:ser>
        <c:ser>
          <c:idx val="2"/>
          <c:order val="2"/>
          <c:tx>
            <c:strRef>
              <c:f>'8.Solidez'!$G$24</c:f>
              <c:strCache>
                <c:ptCount val="1"/>
                <c:pt idx="0">
                  <c:v>Pasivo corriente</c:v>
                </c:pt>
              </c:strCache>
            </c:strRef>
          </c:tx>
          <c:dLbls>
            <c:txPr>
              <a:bodyPr/>
              <a:lstStyle/>
              <a:p>
                <a:pPr>
                  <a:defRPr b="1"/>
                </a:pPr>
                <a:endParaRPr lang="en-US"/>
              </a:p>
            </c:txPr>
            <c:showVal val="1"/>
            <c:showSerName val="1"/>
          </c:dLbls>
          <c:val>
            <c:numRef>
              <c:f>'8.Solidez'!$H$24:$I$24</c:f>
              <c:numCache>
                <c:formatCode>0%</c:formatCode>
                <c:ptCount val="2"/>
                <c:pt idx="1">
                  <c:v>0.53902259713038569</c:v>
                </c:pt>
              </c:numCache>
            </c:numRef>
          </c:val>
        </c:ser>
        <c:ser>
          <c:idx val="3"/>
          <c:order val="3"/>
          <c:tx>
            <c:strRef>
              <c:f>'8.Solidez'!$G$25</c:f>
              <c:strCache>
                <c:ptCount val="1"/>
                <c:pt idx="0">
                  <c:v>Pasivo a largo plazo</c:v>
                </c:pt>
              </c:strCache>
            </c:strRef>
          </c:tx>
          <c:dLbls>
            <c:showVal val="1"/>
            <c:showSerName val="1"/>
          </c:dLbls>
          <c:val>
            <c:numRef>
              <c:f>'8.Solidez'!$H$25:$I$25</c:f>
              <c:numCache>
                <c:formatCode>0%</c:formatCode>
                <c:ptCount val="2"/>
                <c:pt idx="1">
                  <c:v>0.10098502557643528</c:v>
                </c:pt>
              </c:numCache>
            </c:numRef>
          </c:val>
        </c:ser>
        <c:ser>
          <c:idx val="4"/>
          <c:order val="4"/>
          <c:tx>
            <c:strRef>
              <c:f>'8.Solidez'!$G$26</c:f>
              <c:strCache>
                <c:ptCount val="1"/>
                <c:pt idx="0">
                  <c:v>Total patrimonio</c:v>
                </c:pt>
              </c:strCache>
            </c:strRef>
          </c:tx>
          <c:dLbls>
            <c:showVal val="1"/>
            <c:showSerName val="1"/>
          </c:dLbls>
          <c:val>
            <c:numRef>
              <c:f>'8.Solidez'!$H$26:$I$26</c:f>
              <c:numCache>
                <c:formatCode>0%</c:formatCode>
                <c:ptCount val="2"/>
                <c:pt idx="1">
                  <c:v>0.35999237729317918</c:v>
                </c:pt>
              </c:numCache>
            </c:numRef>
          </c:val>
        </c:ser>
        <c:dLbls>
          <c:showVal val="1"/>
        </c:dLbls>
        <c:gapWidth val="95"/>
        <c:overlap val="100"/>
        <c:axId val="48690688"/>
        <c:axId val="48692224"/>
      </c:barChart>
      <c:catAx>
        <c:axId val="48690688"/>
        <c:scaling>
          <c:orientation val="minMax"/>
        </c:scaling>
        <c:axPos val="b"/>
        <c:numFmt formatCode="General" sourceLinked="1"/>
        <c:majorTickMark val="none"/>
        <c:tickLblPos val="nextTo"/>
        <c:txPr>
          <a:bodyPr rot="0" vert="horz"/>
          <a:lstStyle/>
          <a:p>
            <a:pPr>
              <a:defRPr/>
            </a:pPr>
            <a:endParaRPr lang="en-US"/>
          </a:p>
        </c:txPr>
        <c:crossAx val="48692224"/>
        <c:crosses val="autoZero"/>
        <c:auto val="1"/>
        <c:lblAlgn val="ctr"/>
        <c:lblOffset val="100"/>
      </c:catAx>
      <c:valAx>
        <c:axId val="48692224"/>
        <c:scaling>
          <c:orientation val="minMax"/>
        </c:scaling>
        <c:delete val="1"/>
        <c:axPos val="l"/>
        <c:numFmt formatCode="0%" sourceLinked="1"/>
        <c:tickLblPos val="none"/>
        <c:crossAx val="48690688"/>
        <c:crosses val="autoZero"/>
        <c:crossBetween val="between"/>
      </c:valAx>
    </c:plotArea>
    <c:plotVisOnly val="1"/>
    <c:dispBlanksAs val="gap"/>
  </c:chart>
  <c:printSettings>
    <c:headerFooter/>
    <c:pageMargins b="0.75000000000000355" l="0.70000000000000062" r="0.70000000000000062" t="0.750000000000003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style val="11"/>
  <c:chart>
    <c:title>
      <c:tx>
        <c:rich>
          <a:bodyPr/>
          <a:lstStyle/>
          <a:p>
            <a:pPr>
              <a:defRPr/>
            </a:pPr>
            <a:r>
              <a:rPr lang="en-US"/>
              <a:t>2010</a:t>
            </a:r>
          </a:p>
        </c:rich>
      </c:tx>
      <c:layout/>
    </c:title>
    <c:plotArea>
      <c:layout/>
      <c:barChart>
        <c:barDir val="col"/>
        <c:grouping val="percentStacked"/>
        <c:ser>
          <c:idx val="0"/>
          <c:order val="0"/>
          <c:tx>
            <c:strRef>
              <c:f>'8.Solidez'!$K$22</c:f>
              <c:strCache>
                <c:ptCount val="1"/>
                <c:pt idx="0">
                  <c:v>Total activo corriente</c:v>
                </c:pt>
              </c:strCache>
            </c:strRef>
          </c:tx>
          <c:dLbls>
            <c:txPr>
              <a:bodyPr/>
              <a:lstStyle/>
              <a:p>
                <a:pPr>
                  <a:defRPr>
                    <a:solidFill>
                      <a:schemeClr val="bg1"/>
                    </a:solidFill>
                  </a:defRPr>
                </a:pPr>
                <a:endParaRPr lang="en-US"/>
              </a:p>
            </c:txPr>
            <c:showVal val="1"/>
            <c:showSerName val="1"/>
          </c:dLbls>
          <c:val>
            <c:numRef>
              <c:f>'8.Solidez'!$L$22:$M$22</c:f>
              <c:numCache>
                <c:formatCode>General</c:formatCode>
                <c:ptCount val="2"/>
                <c:pt idx="0" formatCode="0%">
                  <c:v>0.56171029833573982</c:v>
                </c:pt>
              </c:numCache>
            </c:numRef>
          </c:val>
        </c:ser>
        <c:ser>
          <c:idx val="1"/>
          <c:order val="1"/>
          <c:tx>
            <c:strRef>
              <c:f>'8.Solidez'!$K$23</c:f>
              <c:strCache>
                <c:ptCount val="1"/>
                <c:pt idx="0">
                  <c:v>Total activos no corrientes</c:v>
                </c:pt>
              </c:strCache>
            </c:strRef>
          </c:tx>
          <c:dLbls>
            <c:txPr>
              <a:bodyPr/>
              <a:lstStyle/>
              <a:p>
                <a:pPr>
                  <a:defRPr>
                    <a:solidFill>
                      <a:schemeClr val="bg1"/>
                    </a:solidFill>
                  </a:defRPr>
                </a:pPr>
                <a:endParaRPr lang="en-US"/>
              </a:p>
            </c:txPr>
            <c:showVal val="1"/>
            <c:showSerName val="1"/>
          </c:dLbls>
          <c:val>
            <c:numRef>
              <c:f>'8.Solidez'!$L$23:$M$23</c:f>
              <c:numCache>
                <c:formatCode>General</c:formatCode>
                <c:ptCount val="2"/>
                <c:pt idx="0" formatCode="0%">
                  <c:v>0.43828970166426012</c:v>
                </c:pt>
              </c:numCache>
            </c:numRef>
          </c:val>
        </c:ser>
        <c:ser>
          <c:idx val="2"/>
          <c:order val="2"/>
          <c:tx>
            <c:strRef>
              <c:f>'8.Solidez'!$K$24</c:f>
              <c:strCache>
                <c:ptCount val="1"/>
                <c:pt idx="0">
                  <c:v>Pasivo corriente</c:v>
                </c:pt>
              </c:strCache>
            </c:strRef>
          </c:tx>
          <c:dLbls>
            <c:txPr>
              <a:bodyPr/>
              <a:lstStyle/>
              <a:p>
                <a:pPr>
                  <a:defRPr b="1"/>
                </a:pPr>
                <a:endParaRPr lang="en-US"/>
              </a:p>
            </c:txPr>
            <c:showVal val="1"/>
            <c:showSerName val="1"/>
          </c:dLbls>
          <c:val>
            <c:numRef>
              <c:f>'8.Solidez'!$L$24:$M$24</c:f>
              <c:numCache>
                <c:formatCode>0%</c:formatCode>
                <c:ptCount val="2"/>
                <c:pt idx="1">
                  <c:v>0.45438481077957649</c:v>
                </c:pt>
              </c:numCache>
            </c:numRef>
          </c:val>
        </c:ser>
        <c:ser>
          <c:idx val="3"/>
          <c:order val="3"/>
          <c:tx>
            <c:strRef>
              <c:f>'8.Solidez'!$K$25</c:f>
              <c:strCache>
                <c:ptCount val="1"/>
                <c:pt idx="0">
                  <c:v>Pasivo a largo plazo</c:v>
                </c:pt>
              </c:strCache>
            </c:strRef>
          </c:tx>
          <c:dLbls>
            <c:showVal val="1"/>
            <c:showSerName val="1"/>
          </c:dLbls>
          <c:val>
            <c:numRef>
              <c:f>'8.Solidez'!$L$25:$M$25</c:f>
              <c:numCache>
                <c:formatCode>0%</c:formatCode>
                <c:ptCount val="2"/>
                <c:pt idx="1">
                  <c:v>0.15841018760267772</c:v>
                </c:pt>
              </c:numCache>
            </c:numRef>
          </c:val>
        </c:ser>
        <c:ser>
          <c:idx val="4"/>
          <c:order val="4"/>
          <c:tx>
            <c:strRef>
              <c:f>'8.Solidez'!$K$26</c:f>
              <c:strCache>
                <c:ptCount val="1"/>
                <c:pt idx="0">
                  <c:v>Total patrimonio</c:v>
                </c:pt>
              </c:strCache>
            </c:strRef>
          </c:tx>
          <c:dLbls>
            <c:showVal val="1"/>
            <c:showSerName val="1"/>
          </c:dLbls>
          <c:val>
            <c:numRef>
              <c:f>'8.Solidez'!$L$26:$M$26</c:f>
              <c:numCache>
                <c:formatCode>0%</c:formatCode>
                <c:ptCount val="2"/>
                <c:pt idx="1">
                  <c:v>0.38720500161774579</c:v>
                </c:pt>
              </c:numCache>
            </c:numRef>
          </c:val>
        </c:ser>
        <c:dLbls>
          <c:showVal val="1"/>
        </c:dLbls>
        <c:gapWidth val="95"/>
        <c:overlap val="100"/>
        <c:axId val="48741760"/>
        <c:axId val="48751744"/>
      </c:barChart>
      <c:catAx>
        <c:axId val="48741760"/>
        <c:scaling>
          <c:orientation val="minMax"/>
        </c:scaling>
        <c:axPos val="b"/>
        <c:numFmt formatCode="General" sourceLinked="1"/>
        <c:majorTickMark val="none"/>
        <c:tickLblPos val="nextTo"/>
        <c:txPr>
          <a:bodyPr rot="0" vert="horz"/>
          <a:lstStyle/>
          <a:p>
            <a:pPr>
              <a:defRPr/>
            </a:pPr>
            <a:endParaRPr lang="en-US"/>
          </a:p>
        </c:txPr>
        <c:crossAx val="48751744"/>
        <c:crosses val="autoZero"/>
        <c:auto val="1"/>
        <c:lblAlgn val="ctr"/>
        <c:lblOffset val="100"/>
      </c:catAx>
      <c:valAx>
        <c:axId val="48751744"/>
        <c:scaling>
          <c:orientation val="minMax"/>
        </c:scaling>
        <c:delete val="1"/>
        <c:axPos val="l"/>
        <c:numFmt formatCode="0%" sourceLinked="1"/>
        <c:tickLblPos val="none"/>
        <c:crossAx val="48741760"/>
        <c:crosses val="autoZero"/>
        <c:crossBetween val="between"/>
      </c:valAx>
    </c:plotArea>
    <c:plotVisOnly val="1"/>
    <c:dispBlanksAs val="gap"/>
  </c:chart>
  <c:printSettings>
    <c:headerFooter/>
    <c:pageMargins b="0.75000000000000377" l="0.70000000000000062" r="0.70000000000000062" t="0.75000000000000377"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style val="11"/>
  <c:chart>
    <c:title>
      <c:tx>
        <c:rich>
          <a:bodyPr/>
          <a:lstStyle/>
          <a:p>
            <a:pPr>
              <a:defRPr/>
            </a:pPr>
            <a:r>
              <a:rPr lang="en-US"/>
              <a:t>2011</a:t>
            </a:r>
          </a:p>
        </c:rich>
      </c:tx>
      <c:layout/>
    </c:title>
    <c:plotArea>
      <c:layout/>
      <c:barChart>
        <c:barDir val="col"/>
        <c:grouping val="percentStacked"/>
        <c:ser>
          <c:idx val="0"/>
          <c:order val="0"/>
          <c:tx>
            <c:strRef>
              <c:f>'8.Solidez'!$O$22</c:f>
              <c:strCache>
                <c:ptCount val="1"/>
                <c:pt idx="0">
                  <c:v>Total activo corriente</c:v>
                </c:pt>
              </c:strCache>
            </c:strRef>
          </c:tx>
          <c:dLbls>
            <c:txPr>
              <a:bodyPr/>
              <a:lstStyle/>
              <a:p>
                <a:pPr>
                  <a:defRPr>
                    <a:solidFill>
                      <a:schemeClr val="bg1"/>
                    </a:solidFill>
                  </a:defRPr>
                </a:pPr>
                <a:endParaRPr lang="en-US"/>
              </a:p>
            </c:txPr>
            <c:showVal val="1"/>
            <c:showSerName val="1"/>
          </c:dLbls>
          <c:val>
            <c:numRef>
              <c:f>'8.Solidez'!$P$22:$Q$22</c:f>
              <c:numCache>
                <c:formatCode>General</c:formatCode>
                <c:ptCount val="2"/>
                <c:pt idx="0" formatCode="0%">
                  <c:v>0.40738637832330249</c:v>
                </c:pt>
              </c:numCache>
            </c:numRef>
          </c:val>
        </c:ser>
        <c:ser>
          <c:idx val="1"/>
          <c:order val="1"/>
          <c:tx>
            <c:strRef>
              <c:f>'8.Solidez'!$O$23</c:f>
              <c:strCache>
                <c:ptCount val="1"/>
                <c:pt idx="0">
                  <c:v>Total activos no corrientes</c:v>
                </c:pt>
              </c:strCache>
            </c:strRef>
          </c:tx>
          <c:dLbls>
            <c:txPr>
              <a:bodyPr/>
              <a:lstStyle/>
              <a:p>
                <a:pPr>
                  <a:defRPr>
                    <a:solidFill>
                      <a:schemeClr val="bg1"/>
                    </a:solidFill>
                  </a:defRPr>
                </a:pPr>
                <a:endParaRPr lang="en-US"/>
              </a:p>
            </c:txPr>
            <c:showVal val="1"/>
            <c:showSerName val="1"/>
          </c:dLbls>
          <c:val>
            <c:numRef>
              <c:f>'8.Solidez'!$P$23:$Q$23</c:f>
              <c:numCache>
                <c:formatCode>General</c:formatCode>
                <c:ptCount val="2"/>
                <c:pt idx="0" formatCode="0%">
                  <c:v>0.59261362167669751</c:v>
                </c:pt>
              </c:numCache>
            </c:numRef>
          </c:val>
        </c:ser>
        <c:ser>
          <c:idx val="2"/>
          <c:order val="2"/>
          <c:tx>
            <c:strRef>
              <c:f>'8.Solidez'!$O$24</c:f>
              <c:strCache>
                <c:ptCount val="1"/>
                <c:pt idx="0">
                  <c:v>Pasivo corriente</c:v>
                </c:pt>
              </c:strCache>
            </c:strRef>
          </c:tx>
          <c:dLbls>
            <c:txPr>
              <a:bodyPr/>
              <a:lstStyle/>
              <a:p>
                <a:pPr>
                  <a:defRPr b="1"/>
                </a:pPr>
                <a:endParaRPr lang="en-US"/>
              </a:p>
            </c:txPr>
            <c:showVal val="1"/>
            <c:showSerName val="1"/>
          </c:dLbls>
          <c:val>
            <c:numRef>
              <c:f>'8.Solidez'!$P$24:$Q$24</c:f>
              <c:numCache>
                <c:formatCode>0%</c:formatCode>
                <c:ptCount val="2"/>
                <c:pt idx="1">
                  <c:v>0.41421647019636831</c:v>
                </c:pt>
              </c:numCache>
            </c:numRef>
          </c:val>
        </c:ser>
        <c:ser>
          <c:idx val="3"/>
          <c:order val="3"/>
          <c:tx>
            <c:strRef>
              <c:f>'8.Solidez'!$O$25</c:f>
              <c:strCache>
                <c:ptCount val="1"/>
                <c:pt idx="0">
                  <c:v>Pasivo a largo plazo</c:v>
                </c:pt>
              </c:strCache>
            </c:strRef>
          </c:tx>
          <c:dLbls>
            <c:showVal val="1"/>
            <c:showSerName val="1"/>
          </c:dLbls>
          <c:val>
            <c:numRef>
              <c:f>'8.Solidez'!$P$25:$Q$25</c:f>
              <c:numCache>
                <c:formatCode>0%</c:formatCode>
                <c:ptCount val="2"/>
                <c:pt idx="1">
                  <c:v>0.20375248604611099</c:v>
                </c:pt>
              </c:numCache>
            </c:numRef>
          </c:val>
        </c:ser>
        <c:ser>
          <c:idx val="4"/>
          <c:order val="4"/>
          <c:tx>
            <c:strRef>
              <c:f>'8.Solidez'!$O$26</c:f>
              <c:strCache>
                <c:ptCount val="1"/>
                <c:pt idx="0">
                  <c:v>Total patrimonio</c:v>
                </c:pt>
              </c:strCache>
            </c:strRef>
          </c:tx>
          <c:dLbls>
            <c:showVal val="1"/>
            <c:showSerName val="1"/>
          </c:dLbls>
          <c:val>
            <c:numRef>
              <c:f>'8.Solidez'!$P$26:$Q$26</c:f>
              <c:numCache>
                <c:formatCode>0%</c:formatCode>
                <c:ptCount val="2"/>
                <c:pt idx="1">
                  <c:v>0.38203104375752078</c:v>
                </c:pt>
              </c:numCache>
            </c:numRef>
          </c:val>
        </c:ser>
        <c:dLbls>
          <c:showVal val="1"/>
        </c:dLbls>
        <c:gapWidth val="95"/>
        <c:overlap val="100"/>
        <c:axId val="48821760"/>
        <c:axId val="48823296"/>
      </c:barChart>
      <c:catAx>
        <c:axId val="48821760"/>
        <c:scaling>
          <c:orientation val="minMax"/>
        </c:scaling>
        <c:axPos val="b"/>
        <c:numFmt formatCode="General" sourceLinked="1"/>
        <c:majorTickMark val="none"/>
        <c:tickLblPos val="nextTo"/>
        <c:txPr>
          <a:bodyPr rot="0" vert="horz"/>
          <a:lstStyle/>
          <a:p>
            <a:pPr>
              <a:defRPr/>
            </a:pPr>
            <a:endParaRPr lang="en-US"/>
          </a:p>
        </c:txPr>
        <c:crossAx val="48823296"/>
        <c:crosses val="autoZero"/>
        <c:auto val="1"/>
        <c:lblAlgn val="ctr"/>
        <c:lblOffset val="100"/>
      </c:catAx>
      <c:valAx>
        <c:axId val="48823296"/>
        <c:scaling>
          <c:orientation val="minMax"/>
        </c:scaling>
        <c:delete val="1"/>
        <c:axPos val="l"/>
        <c:numFmt formatCode="0%" sourceLinked="1"/>
        <c:tickLblPos val="none"/>
        <c:crossAx val="48821760"/>
        <c:crosses val="autoZero"/>
        <c:crossBetween val="between"/>
      </c:valAx>
    </c:plotArea>
    <c:plotVisOnly val="1"/>
    <c:dispBlanksAs val="gap"/>
  </c:chart>
  <c:printSettings>
    <c:headerFooter/>
    <c:pageMargins b="0.750000000000004" l="0.70000000000000062" r="0.70000000000000062" t="0.750000000000004"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Regla No. 2</a:t>
            </a:r>
          </a:p>
        </c:rich>
      </c:tx>
    </c:title>
    <c:plotArea>
      <c:layout/>
      <c:barChart>
        <c:barDir val="col"/>
        <c:grouping val="stacked"/>
        <c:ser>
          <c:idx val="0"/>
          <c:order val="0"/>
          <c:tx>
            <c:strRef>
              <c:f>'8.Solidez'!$C$85</c:f>
              <c:strCache>
                <c:ptCount val="1"/>
                <c:pt idx="0">
                  <c:v>Activo corriente</c:v>
                </c:pt>
              </c:strCache>
            </c:strRef>
          </c:tx>
          <c:cat>
            <c:numRef>
              <c:f>Resumen!$C$42:$C$45</c:f>
              <c:numCache>
                <c:formatCode>[$-409]d\-mmm\-yy;@</c:formatCode>
                <c:ptCount val="4"/>
                <c:pt idx="0">
                  <c:v>39721</c:v>
                </c:pt>
                <c:pt idx="1">
                  <c:v>40086</c:v>
                </c:pt>
                <c:pt idx="2">
                  <c:v>40451</c:v>
                </c:pt>
                <c:pt idx="3">
                  <c:v>40816</c:v>
                </c:pt>
              </c:numCache>
            </c:numRef>
          </c:cat>
          <c:val>
            <c:numRef>
              <c:f>'8.Solidez'!$C$86:$C$89</c:f>
              <c:numCache>
                <c:formatCode>0%</c:formatCode>
                <c:ptCount val="4"/>
                <c:pt idx="0">
                  <c:v>0.81653139637720462</c:v>
                </c:pt>
                <c:pt idx="1">
                  <c:v>0.81746261877779036</c:v>
                </c:pt>
                <c:pt idx="2">
                  <c:v>0.71798596523506442</c:v>
                </c:pt>
                <c:pt idx="3">
                  <c:v>0.65617988079715639</c:v>
                </c:pt>
              </c:numCache>
            </c:numRef>
          </c:val>
        </c:ser>
        <c:ser>
          <c:idx val="1"/>
          <c:order val="1"/>
          <c:tx>
            <c:strRef>
              <c:f>'8.Solidez'!$D$85</c:f>
              <c:strCache>
                <c:ptCount val="1"/>
                <c:pt idx="0">
                  <c:v>Pasivo largo plazo</c:v>
                </c:pt>
              </c:strCache>
            </c:strRef>
          </c:tx>
          <c:cat>
            <c:numRef>
              <c:f>Resumen!$C$42:$C$45</c:f>
              <c:numCache>
                <c:formatCode>[$-409]d\-mmm\-yy;@</c:formatCode>
                <c:ptCount val="4"/>
                <c:pt idx="0">
                  <c:v>39721</c:v>
                </c:pt>
                <c:pt idx="1">
                  <c:v>40086</c:v>
                </c:pt>
                <c:pt idx="2">
                  <c:v>40451</c:v>
                </c:pt>
                <c:pt idx="3">
                  <c:v>40816</c:v>
                </c:pt>
              </c:numCache>
            </c:numRef>
          </c:cat>
          <c:val>
            <c:numRef>
              <c:f>'8.Solidez'!$D$86:$D$89</c:f>
              <c:numCache>
                <c:formatCode>0%</c:formatCode>
                <c:ptCount val="4"/>
                <c:pt idx="0">
                  <c:v>0.18346860362279541</c:v>
                </c:pt>
                <c:pt idx="1">
                  <c:v>0.18253738122220961</c:v>
                </c:pt>
                <c:pt idx="2">
                  <c:v>0.28201403476493564</c:v>
                </c:pt>
                <c:pt idx="3">
                  <c:v>0.34382011920284355</c:v>
                </c:pt>
              </c:numCache>
            </c:numRef>
          </c:val>
        </c:ser>
        <c:dLbls>
          <c:showVal val="1"/>
        </c:dLbls>
        <c:gapWidth val="95"/>
        <c:overlap val="100"/>
        <c:axId val="50318336"/>
        <c:axId val="50328320"/>
      </c:barChart>
      <c:catAx>
        <c:axId val="50318336"/>
        <c:scaling>
          <c:orientation val="minMax"/>
        </c:scaling>
        <c:axPos val="b"/>
        <c:numFmt formatCode="[$-409]d\-mmm\-yy;@" sourceLinked="1"/>
        <c:majorTickMark val="none"/>
        <c:tickLblPos val="nextTo"/>
        <c:crossAx val="50328320"/>
        <c:crosses val="autoZero"/>
        <c:lblAlgn val="ctr"/>
        <c:lblOffset val="100"/>
      </c:catAx>
      <c:valAx>
        <c:axId val="50328320"/>
        <c:scaling>
          <c:orientation val="minMax"/>
          <c:max val="1"/>
        </c:scaling>
        <c:delete val="1"/>
        <c:axPos val="l"/>
        <c:numFmt formatCode="0%" sourceLinked="1"/>
        <c:tickLblPos val="none"/>
        <c:crossAx val="50318336"/>
        <c:crosses val="autoZero"/>
        <c:crossBetween val="between"/>
      </c:valAx>
    </c:plotArea>
    <c:legend>
      <c:legendPos val="r"/>
    </c:legend>
    <c:plotVisOnly val="1"/>
  </c:chart>
  <c:printSettings>
    <c:headerFooter/>
    <c:pageMargins b="0.750000000000001" l="0.70000000000000062" r="0.70000000000000062" t="0.75000000000000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a:t>Regla No. 1</a:t>
            </a:r>
          </a:p>
        </c:rich>
      </c:tx>
    </c:title>
    <c:plotArea>
      <c:layout/>
      <c:barChart>
        <c:barDir val="col"/>
        <c:grouping val="stacked"/>
        <c:ser>
          <c:idx val="0"/>
          <c:order val="0"/>
          <c:tx>
            <c:strRef>
              <c:f>'8.Solidez'!$C$78</c:f>
              <c:strCache>
                <c:ptCount val="1"/>
                <c:pt idx="0">
                  <c:v>Activo no corriente</c:v>
                </c:pt>
              </c:strCache>
            </c:strRef>
          </c:tx>
          <c:cat>
            <c:numRef>
              <c:f>Resumen!$C$42:$C$45</c:f>
              <c:numCache>
                <c:formatCode>[$-409]d\-mmm\-yy;@</c:formatCode>
                <c:ptCount val="4"/>
                <c:pt idx="0">
                  <c:v>39721</c:v>
                </c:pt>
                <c:pt idx="1">
                  <c:v>40086</c:v>
                </c:pt>
                <c:pt idx="2">
                  <c:v>40451</c:v>
                </c:pt>
                <c:pt idx="3">
                  <c:v>40816</c:v>
                </c:pt>
              </c:numCache>
            </c:numRef>
          </c:cat>
          <c:val>
            <c:numRef>
              <c:f>'8.Solidez'!$C$79:$C$82</c:f>
              <c:numCache>
                <c:formatCode>0%</c:formatCode>
                <c:ptCount val="4"/>
                <c:pt idx="0">
                  <c:v>0.18374176574015422</c:v>
                </c:pt>
                <c:pt idx="1">
                  <c:v>0.19423460805378423</c:v>
                </c:pt>
                <c:pt idx="2">
                  <c:v>0.11655464377222902</c:v>
                </c:pt>
                <c:pt idx="3">
                  <c:v>0.35534549024264717</c:v>
                </c:pt>
              </c:numCache>
            </c:numRef>
          </c:val>
        </c:ser>
        <c:ser>
          <c:idx val="1"/>
          <c:order val="1"/>
          <c:tx>
            <c:strRef>
              <c:f>'8.Solidez'!$D$78</c:f>
              <c:strCache>
                <c:ptCount val="1"/>
                <c:pt idx="0">
                  <c:v>Patrimonio</c:v>
                </c:pt>
              </c:strCache>
            </c:strRef>
          </c:tx>
          <c:cat>
            <c:numRef>
              <c:f>Resumen!$C$42:$C$45</c:f>
              <c:numCache>
                <c:formatCode>[$-409]d\-mmm\-yy;@</c:formatCode>
                <c:ptCount val="4"/>
                <c:pt idx="0">
                  <c:v>39721</c:v>
                </c:pt>
                <c:pt idx="1">
                  <c:v>40086</c:v>
                </c:pt>
                <c:pt idx="2">
                  <c:v>40451</c:v>
                </c:pt>
                <c:pt idx="3">
                  <c:v>40816</c:v>
                </c:pt>
              </c:numCache>
            </c:numRef>
          </c:cat>
          <c:val>
            <c:numRef>
              <c:f>'8.Solidez'!$D$79:$D$82</c:f>
              <c:numCache>
                <c:formatCode>0%</c:formatCode>
                <c:ptCount val="4"/>
                <c:pt idx="0">
                  <c:v>0.81625823425984578</c:v>
                </c:pt>
                <c:pt idx="1">
                  <c:v>0.80576539194621577</c:v>
                </c:pt>
                <c:pt idx="2">
                  <c:v>0.88344535622777098</c:v>
                </c:pt>
                <c:pt idx="3">
                  <c:v>0.64465450975735283</c:v>
                </c:pt>
              </c:numCache>
            </c:numRef>
          </c:val>
        </c:ser>
        <c:dLbls>
          <c:showVal val="1"/>
        </c:dLbls>
        <c:gapWidth val="95"/>
        <c:overlap val="100"/>
        <c:axId val="50370048"/>
        <c:axId val="50371584"/>
      </c:barChart>
      <c:catAx>
        <c:axId val="50370048"/>
        <c:scaling>
          <c:orientation val="minMax"/>
        </c:scaling>
        <c:axPos val="b"/>
        <c:numFmt formatCode="[$-409]d\-mmm\-yy;@" sourceLinked="1"/>
        <c:majorTickMark val="none"/>
        <c:tickLblPos val="nextTo"/>
        <c:crossAx val="50371584"/>
        <c:crosses val="autoZero"/>
        <c:lblAlgn val="ctr"/>
        <c:lblOffset val="100"/>
      </c:catAx>
      <c:valAx>
        <c:axId val="50371584"/>
        <c:scaling>
          <c:orientation val="minMax"/>
          <c:max val="1"/>
        </c:scaling>
        <c:delete val="1"/>
        <c:axPos val="l"/>
        <c:numFmt formatCode="0%" sourceLinked="1"/>
        <c:tickLblPos val="none"/>
        <c:crossAx val="50370048"/>
        <c:crosses val="autoZero"/>
        <c:crossBetween val="between"/>
      </c:valAx>
    </c:plotArea>
    <c:legend>
      <c:legendPos val="r"/>
    </c:legend>
    <c:plotVisOnly val="1"/>
  </c:chart>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1</xdr:col>
      <xdr:colOff>1466850</xdr:colOff>
      <xdr:row>1</xdr:row>
      <xdr:rowOff>104775</xdr:rowOff>
    </xdr:from>
    <xdr:to>
      <xdr:col>1</xdr:col>
      <xdr:colOff>1943100</xdr:colOff>
      <xdr:row>3</xdr:row>
      <xdr:rowOff>104775</xdr:rowOff>
    </xdr:to>
    <xdr:pic>
      <xdr:nvPicPr>
        <xdr:cNvPr id="4097" name="il_fi" descr="http://profile.ak.fbcdn.net/hprofile-ak-snc6/195630_100001345232839_631174_q.jpg"/>
        <xdr:cNvPicPr>
          <a:picLocks noChangeAspect="1" noChangeArrowheads="1"/>
        </xdr:cNvPicPr>
      </xdr:nvPicPr>
      <xdr:blipFill>
        <a:blip xmlns:r="http://schemas.openxmlformats.org/officeDocument/2006/relationships" r:embed="rId1" cstate="print"/>
        <a:srcRect/>
        <a:stretch>
          <a:fillRect/>
        </a:stretch>
      </xdr:blipFill>
      <xdr:spPr bwMode="auto">
        <a:xfrm>
          <a:off x="2076450" y="342900"/>
          <a:ext cx="476250" cy="47625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47625</xdr:colOff>
      <xdr:row>12</xdr:row>
      <xdr:rowOff>76200</xdr:rowOff>
    </xdr:from>
    <xdr:to>
      <xdr:col>12</xdr:col>
      <xdr:colOff>0</xdr:colOff>
      <xdr:row>19</xdr:row>
      <xdr:rowOff>190500</xdr:rowOff>
    </xdr:to>
    <xdr:sp macro="" textlink="">
      <xdr:nvSpPr>
        <xdr:cNvPr id="2" name="AutoShape 1"/>
        <xdr:cNvSpPr>
          <a:spLocks/>
        </xdr:cNvSpPr>
      </xdr:nvSpPr>
      <xdr:spPr bwMode="auto">
        <a:xfrm>
          <a:off x="8429625" y="2486025"/>
          <a:ext cx="714375" cy="1514475"/>
        </a:xfrm>
        <a:prstGeom prst="leftBrace">
          <a:avLst>
            <a:gd name="adj1" fmla="val 17667"/>
            <a:gd name="adj2" fmla="val 50000"/>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8</xdr:col>
      <xdr:colOff>152400</xdr:colOff>
      <xdr:row>14</xdr:row>
      <xdr:rowOff>28575</xdr:rowOff>
    </xdr:from>
    <xdr:to>
      <xdr:col>8</xdr:col>
      <xdr:colOff>285750</xdr:colOff>
      <xdr:row>25</xdr:row>
      <xdr:rowOff>171450</xdr:rowOff>
    </xdr:to>
    <xdr:sp macro="" textlink="">
      <xdr:nvSpPr>
        <xdr:cNvPr id="3" name="AutoShape 2"/>
        <xdr:cNvSpPr>
          <a:spLocks/>
        </xdr:cNvSpPr>
      </xdr:nvSpPr>
      <xdr:spPr bwMode="auto">
        <a:xfrm>
          <a:off x="6248400" y="2838450"/>
          <a:ext cx="133350" cy="2343150"/>
        </a:xfrm>
        <a:prstGeom prst="leftBrace">
          <a:avLst>
            <a:gd name="adj1" fmla="val 146429"/>
            <a:gd name="adj2" fmla="val 50000"/>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17</xdr:col>
      <xdr:colOff>320675</xdr:colOff>
      <xdr:row>10</xdr:row>
      <xdr:rowOff>1867</xdr:rowOff>
    </xdr:from>
    <xdr:to>
      <xdr:col>18</xdr:col>
      <xdr:colOff>0</xdr:colOff>
      <xdr:row>15</xdr:row>
      <xdr:rowOff>41274</xdr:rowOff>
    </xdr:to>
    <xdr:sp macro="" textlink="">
      <xdr:nvSpPr>
        <xdr:cNvPr id="4" name="AutoShape 3"/>
        <xdr:cNvSpPr>
          <a:spLocks/>
        </xdr:cNvSpPr>
      </xdr:nvSpPr>
      <xdr:spPr bwMode="auto">
        <a:xfrm rot="10800000">
          <a:off x="13778940" y="1671543"/>
          <a:ext cx="743884" cy="823819"/>
        </a:xfrm>
        <a:prstGeom prst="leftBrace">
          <a:avLst>
            <a:gd name="adj1" fmla="val 8333"/>
            <a:gd name="adj2" fmla="val 40458"/>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17</xdr:col>
      <xdr:colOff>206375</xdr:colOff>
      <xdr:row>26</xdr:row>
      <xdr:rowOff>41275</xdr:rowOff>
    </xdr:from>
    <xdr:to>
      <xdr:col>17</xdr:col>
      <xdr:colOff>1006475</xdr:colOff>
      <xdr:row>32</xdr:row>
      <xdr:rowOff>193675</xdr:rowOff>
    </xdr:to>
    <xdr:sp macro="" textlink="">
      <xdr:nvSpPr>
        <xdr:cNvPr id="5" name="AutoShape 4"/>
        <xdr:cNvSpPr>
          <a:spLocks/>
        </xdr:cNvSpPr>
      </xdr:nvSpPr>
      <xdr:spPr bwMode="auto">
        <a:xfrm rot="10800000">
          <a:off x="13655675" y="5251450"/>
          <a:ext cx="800100" cy="1352550"/>
        </a:xfrm>
        <a:prstGeom prst="leftBrace">
          <a:avLst>
            <a:gd name="adj1" fmla="val 14087"/>
            <a:gd name="adj2" fmla="val 48935"/>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8</xdr:col>
      <xdr:colOff>142875</xdr:colOff>
      <xdr:row>29</xdr:row>
      <xdr:rowOff>142875</xdr:rowOff>
    </xdr:from>
    <xdr:to>
      <xdr:col>8</xdr:col>
      <xdr:colOff>295275</xdr:colOff>
      <xdr:row>38</xdr:row>
      <xdr:rowOff>19050</xdr:rowOff>
    </xdr:to>
    <xdr:sp macro="" textlink="">
      <xdr:nvSpPr>
        <xdr:cNvPr id="6" name="AutoShape 5"/>
        <xdr:cNvSpPr>
          <a:spLocks/>
        </xdr:cNvSpPr>
      </xdr:nvSpPr>
      <xdr:spPr bwMode="auto">
        <a:xfrm>
          <a:off x="6238875" y="5953125"/>
          <a:ext cx="152400" cy="1676400"/>
        </a:xfrm>
        <a:prstGeom prst="leftBrace">
          <a:avLst>
            <a:gd name="adj1" fmla="val 91667"/>
            <a:gd name="adj2" fmla="val 50000"/>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11</xdr:col>
      <xdr:colOff>66674</xdr:colOff>
      <xdr:row>38</xdr:row>
      <xdr:rowOff>111124</xdr:rowOff>
    </xdr:from>
    <xdr:to>
      <xdr:col>11</xdr:col>
      <xdr:colOff>457199</xdr:colOff>
      <xdr:row>47</xdr:row>
      <xdr:rowOff>63499</xdr:rowOff>
    </xdr:to>
    <xdr:sp macro="" textlink="">
      <xdr:nvSpPr>
        <xdr:cNvPr id="7" name="AutoShape 6"/>
        <xdr:cNvSpPr>
          <a:spLocks/>
        </xdr:cNvSpPr>
      </xdr:nvSpPr>
      <xdr:spPr bwMode="auto">
        <a:xfrm>
          <a:off x="8448674" y="7721599"/>
          <a:ext cx="390525" cy="1752600"/>
        </a:xfrm>
        <a:prstGeom prst="leftBrace">
          <a:avLst>
            <a:gd name="adj1" fmla="val 34635"/>
            <a:gd name="adj2" fmla="val 38019"/>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5</xdr:col>
      <xdr:colOff>85725</xdr:colOff>
      <xdr:row>15</xdr:row>
      <xdr:rowOff>47625</xdr:rowOff>
    </xdr:from>
    <xdr:to>
      <xdr:col>5</xdr:col>
      <xdr:colOff>638735</xdr:colOff>
      <xdr:row>35</xdr:row>
      <xdr:rowOff>145677</xdr:rowOff>
    </xdr:to>
    <xdr:sp macro="" textlink="">
      <xdr:nvSpPr>
        <xdr:cNvPr id="8" name="AutoShape 7"/>
        <xdr:cNvSpPr>
          <a:spLocks/>
        </xdr:cNvSpPr>
      </xdr:nvSpPr>
      <xdr:spPr bwMode="auto">
        <a:xfrm>
          <a:off x="3895725" y="2501713"/>
          <a:ext cx="553010" cy="3235699"/>
        </a:xfrm>
        <a:prstGeom prst="leftBrace">
          <a:avLst>
            <a:gd name="adj1" fmla="val 50463"/>
            <a:gd name="adj2" fmla="val 41106"/>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2</xdr:col>
      <xdr:colOff>85725</xdr:colOff>
      <xdr:row>21</xdr:row>
      <xdr:rowOff>142875</xdr:rowOff>
    </xdr:from>
    <xdr:to>
      <xdr:col>2</xdr:col>
      <xdr:colOff>276225</xdr:colOff>
      <xdr:row>44</xdr:row>
      <xdr:rowOff>142875</xdr:rowOff>
    </xdr:to>
    <xdr:sp macro="" textlink="">
      <xdr:nvSpPr>
        <xdr:cNvPr id="9" name="AutoShape 8"/>
        <xdr:cNvSpPr>
          <a:spLocks/>
        </xdr:cNvSpPr>
      </xdr:nvSpPr>
      <xdr:spPr bwMode="auto">
        <a:xfrm>
          <a:off x="1609725" y="4352925"/>
          <a:ext cx="190500" cy="4600575"/>
        </a:xfrm>
        <a:prstGeom prst="leftBrace">
          <a:avLst>
            <a:gd name="adj1" fmla="val 201250"/>
            <a:gd name="adj2" fmla="val 44000"/>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9</xdr:col>
      <xdr:colOff>358028</xdr:colOff>
      <xdr:row>54</xdr:row>
      <xdr:rowOff>56030</xdr:rowOff>
    </xdr:from>
    <xdr:to>
      <xdr:col>9</xdr:col>
      <xdr:colOff>491378</xdr:colOff>
      <xdr:row>59</xdr:row>
      <xdr:rowOff>127747</xdr:rowOff>
    </xdr:to>
    <xdr:sp macro="" textlink="">
      <xdr:nvSpPr>
        <xdr:cNvPr id="10" name="AutoShape 9"/>
        <xdr:cNvSpPr>
          <a:spLocks/>
        </xdr:cNvSpPr>
      </xdr:nvSpPr>
      <xdr:spPr bwMode="auto">
        <a:xfrm>
          <a:off x="11933704" y="8684559"/>
          <a:ext cx="133350" cy="889747"/>
        </a:xfrm>
        <a:prstGeom prst="leftBrace">
          <a:avLst>
            <a:gd name="adj1" fmla="val 64881"/>
            <a:gd name="adj2" fmla="val 36023"/>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twoCellAnchor>
    <xdr:from>
      <xdr:col>14</xdr:col>
      <xdr:colOff>203947</xdr:colOff>
      <xdr:row>54</xdr:row>
      <xdr:rowOff>27454</xdr:rowOff>
    </xdr:from>
    <xdr:to>
      <xdr:col>14</xdr:col>
      <xdr:colOff>337297</xdr:colOff>
      <xdr:row>63</xdr:row>
      <xdr:rowOff>62192</xdr:rowOff>
    </xdr:to>
    <xdr:sp macro="" textlink="">
      <xdr:nvSpPr>
        <xdr:cNvPr id="11" name="AutoShape 10"/>
        <xdr:cNvSpPr>
          <a:spLocks/>
        </xdr:cNvSpPr>
      </xdr:nvSpPr>
      <xdr:spPr bwMode="auto">
        <a:xfrm>
          <a:off x="15679271" y="8655983"/>
          <a:ext cx="133350" cy="1502709"/>
        </a:xfrm>
        <a:prstGeom prst="leftBrace">
          <a:avLst>
            <a:gd name="adj1" fmla="val 65476"/>
            <a:gd name="adj2" fmla="val 36023"/>
          </a:avLst>
        </a:prstGeom>
        <a:ln>
          <a:headEnd/>
          <a:tailEnd/>
        </a:ln>
      </xdr:spPr>
      <xdr:style>
        <a:lnRef idx="2">
          <a:schemeClr val="accent1"/>
        </a:lnRef>
        <a:fillRef idx="0">
          <a:schemeClr val="accent1"/>
        </a:fillRef>
        <a:effectRef idx="1">
          <a:schemeClr val="accent1"/>
        </a:effectRef>
        <a:fontRef idx="minor">
          <a:schemeClr val="tx1"/>
        </a:fontRef>
      </xdr:style>
      <xdr:txBody>
        <a:bodyPr/>
        <a:lstStyle/>
        <a:p>
          <a:pPr marL="0" indent="0"/>
          <a:endParaRPr lang="en-US" sz="1100">
            <a:solidFill>
              <a:schemeClr val="tx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66675</xdr:colOff>
      <xdr:row>28</xdr:row>
      <xdr:rowOff>0</xdr:rowOff>
    </xdr:from>
    <xdr:to>
      <xdr:col>5</xdr:col>
      <xdr:colOff>419100</xdr:colOff>
      <xdr:row>64</xdr:row>
      <xdr:rowOff>28575</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95250</xdr:colOff>
      <xdr:row>28</xdr:row>
      <xdr:rowOff>9525</xdr:rowOff>
    </xdr:from>
    <xdr:to>
      <xdr:col>9</xdr:col>
      <xdr:colOff>514350</xdr:colOff>
      <xdr:row>64</xdr:row>
      <xdr:rowOff>28575</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85725</xdr:colOff>
      <xdr:row>28</xdr:row>
      <xdr:rowOff>19050</xdr:rowOff>
    </xdr:from>
    <xdr:to>
      <xdr:col>13</xdr:col>
      <xdr:colOff>504825</xdr:colOff>
      <xdr:row>64</xdr:row>
      <xdr:rowOff>38100</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66675</xdr:colOff>
      <xdr:row>28</xdr:row>
      <xdr:rowOff>28575</xdr:rowOff>
    </xdr:from>
    <xdr:to>
      <xdr:col>17</xdr:col>
      <xdr:colOff>504825</xdr:colOff>
      <xdr:row>64</xdr:row>
      <xdr:rowOff>47625</xdr:rowOff>
    </xdr:to>
    <xdr:graphicFrame macro="">
      <xdr:nvGraphicFramePr>
        <xdr:cNvPr id="5"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114299</xdr:colOff>
      <xdr:row>27</xdr:row>
      <xdr:rowOff>95250</xdr:rowOff>
    </xdr:from>
    <xdr:to>
      <xdr:col>10</xdr:col>
      <xdr:colOff>685800</xdr:colOff>
      <xdr:row>38</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27</xdr:row>
      <xdr:rowOff>180974</xdr:rowOff>
    </xdr:from>
    <xdr:to>
      <xdr:col>4</xdr:col>
      <xdr:colOff>447675</xdr:colOff>
      <xdr:row>38</xdr:row>
      <xdr:rowOff>104774</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uis%20Ricardo/Downloads/Programa%20Circular.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vette/Desktop/MODEL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icio"/>
      <sheetName val="Datos"/>
      <sheetName val="FEDS1Z2"/>
      <sheetName val="FEDS2Z2"/>
      <sheetName val="FEDS3Z2"/>
      <sheetName val="FEDS4Z2"/>
      <sheetName val="FEDS1Z3"/>
      <sheetName val="FEDS2Z3"/>
      <sheetName val="FEDS3Z3"/>
      <sheetName val="FEDS4Z3"/>
      <sheetName val="FEDS1Z4"/>
      <sheetName val="FEDS2Z4"/>
      <sheetName val="FEDS3Z4"/>
      <sheetName val="FEDS4Z4"/>
      <sheetName val="PCA1"/>
      <sheetName val="PCA2"/>
      <sheetName val="PCA3"/>
      <sheetName val="PCA4"/>
      <sheetName val="PCA5"/>
      <sheetName val="PCA6"/>
      <sheetName val="PCA7"/>
      <sheetName val="PCA8"/>
      <sheetName val="PCA9"/>
      <sheetName val="PCA10"/>
      <sheetName val="PCA11"/>
      <sheetName val="PCA12"/>
      <sheetName val="PCA13"/>
      <sheetName val="PCA14"/>
      <sheetName val="PCA15"/>
      <sheetName val="PCA16"/>
      <sheetName val="PCA17"/>
      <sheetName val="PCA18"/>
      <sheetName val="PCA19"/>
      <sheetName val="Memoria de Cálculo"/>
      <sheetName val="REF"/>
      <sheetName val="Hoja1"/>
      <sheetName val="Programa Circul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ow r="2">
          <cell r="A2">
            <v>0.4</v>
          </cell>
          <cell r="B2">
            <v>-1.57</v>
          </cell>
          <cell r="C2">
            <v>-1.32</v>
          </cell>
          <cell r="D2">
            <v>-1.08</v>
          </cell>
          <cell r="E2">
            <v>-0.86</v>
          </cell>
          <cell r="F2">
            <v>-0.65</v>
          </cell>
          <cell r="G2">
            <v>-0.47</v>
          </cell>
          <cell r="H2">
            <v>-0.31</v>
          </cell>
          <cell r="I2">
            <v>-0.18</v>
          </cell>
          <cell r="J2">
            <v>-0.08</v>
          </cell>
          <cell r="K2">
            <v>-0.02</v>
          </cell>
        </row>
        <row r="3">
          <cell r="A3">
            <v>0.8</v>
          </cell>
          <cell r="B3">
            <v>-3.09</v>
          </cell>
          <cell r="C3">
            <v>-2.5499999999999998</v>
          </cell>
          <cell r="D3">
            <v>-2.04</v>
          </cell>
          <cell r="E3">
            <v>-1.57</v>
          </cell>
          <cell r="F3">
            <v>-1.1499999999999999</v>
          </cell>
          <cell r="G3">
            <v>-0.8</v>
          </cell>
          <cell r="H3">
            <v>-0.51</v>
          </cell>
          <cell r="I3">
            <v>-0.28000000000000003</v>
          </cell>
          <cell r="J3">
            <v>-0.13</v>
          </cell>
          <cell r="K3">
            <v>-0.03</v>
          </cell>
        </row>
        <row r="4">
          <cell r="A4">
            <v>1.2</v>
          </cell>
          <cell r="B4">
            <v>-3.95</v>
          </cell>
          <cell r="C4">
            <v>-3.17</v>
          </cell>
          <cell r="D4">
            <v>-2.44</v>
          </cell>
          <cell r="E4">
            <v>-1.79</v>
          </cell>
          <cell r="F4">
            <v>-1.25</v>
          </cell>
          <cell r="G4">
            <v>-0.81</v>
          </cell>
          <cell r="H4">
            <v>-0.48</v>
          </cell>
          <cell r="I4">
            <v>-0.25</v>
          </cell>
          <cell r="J4">
            <v>-0.1</v>
          </cell>
          <cell r="K4">
            <v>-0.02</v>
          </cell>
        </row>
        <row r="5">
          <cell r="A5">
            <v>1.6</v>
          </cell>
          <cell r="B5">
            <v>-4.57</v>
          </cell>
          <cell r="C5">
            <v>-3.54</v>
          </cell>
          <cell r="D5">
            <v>-2.6</v>
          </cell>
          <cell r="E5">
            <v>-1.8</v>
          </cell>
          <cell r="F5">
            <v>-1.17</v>
          </cell>
          <cell r="G5">
            <v>-0.69</v>
          </cell>
          <cell r="H5">
            <v>-0.36</v>
          </cell>
          <cell r="I5">
            <v>-0.16</v>
          </cell>
          <cell r="J5">
            <v>-0.05</v>
          </cell>
          <cell r="K5">
            <v>-0.01</v>
          </cell>
        </row>
        <row r="6">
          <cell r="A6">
            <v>2</v>
          </cell>
          <cell r="B6">
            <v>-5.12</v>
          </cell>
          <cell r="C6">
            <v>-3.83</v>
          </cell>
          <cell r="D6">
            <v>-2.68</v>
          </cell>
          <cell r="E6">
            <v>-1.74</v>
          </cell>
          <cell r="F6">
            <v>-1.02</v>
          </cell>
          <cell r="G6">
            <v>-0.52</v>
          </cell>
          <cell r="H6">
            <v>-0.21</v>
          </cell>
          <cell r="I6">
            <v>-0.05</v>
          </cell>
          <cell r="J6">
            <v>0.01</v>
          </cell>
          <cell r="K6">
            <v>0.01</v>
          </cell>
        </row>
        <row r="7">
          <cell r="A7">
            <v>3</v>
          </cell>
          <cell r="B7">
            <v>-6.32</v>
          </cell>
          <cell r="C7">
            <v>-4.37</v>
          </cell>
          <cell r="D7">
            <v>-2.7</v>
          </cell>
          <cell r="E7">
            <v>-1.43</v>
          </cell>
          <cell r="F7">
            <v>-0.57999999999999996</v>
          </cell>
          <cell r="G7">
            <v>-0.02</v>
          </cell>
          <cell r="H7">
            <v>0.15</v>
          </cell>
          <cell r="I7">
            <v>0.19</v>
          </cell>
          <cell r="J7">
            <v>0.13</v>
          </cell>
          <cell r="K7">
            <v>0.04</v>
          </cell>
        </row>
        <row r="8">
          <cell r="A8">
            <v>4</v>
          </cell>
          <cell r="B8">
            <v>-7.34</v>
          </cell>
          <cell r="C8">
            <v>-4.7300000000000004</v>
          </cell>
          <cell r="D8">
            <v>-2.6</v>
          </cell>
          <cell r="E8">
            <v>-1.1000000000000001</v>
          </cell>
          <cell r="F8">
            <v>-0.19</v>
          </cell>
          <cell r="G8">
            <v>0.26</v>
          </cell>
          <cell r="H8">
            <v>0.38</v>
          </cell>
          <cell r="I8">
            <v>0.33</v>
          </cell>
          <cell r="J8">
            <v>0.19</v>
          </cell>
          <cell r="K8">
            <v>0.06</v>
          </cell>
        </row>
        <row r="9">
          <cell r="A9">
            <v>5</v>
          </cell>
          <cell r="B9">
            <v>-8.2200000000000006</v>
          </cell>
          <cell r="C9">
            <v>-4.99</v>
          </cell>
          <cell r="D9">
            <v>-2.4500000000000002</v>
          </cell>
          <cell r="E9">
            <v>-0.79</v>
          </cell>
          <cell r="F9">
            <v>0.11</v>
          </cell>
          <cell r="G9">
            <v>0.47</v>
          </cell>
          <cell r="H9">
            <v>0.5</v>
          </cell>
          <cell r="I9">
            <v>0.37</v>
          </cell>
          <cell r="J9">
            <v>0.2</v>
          </cell>
          <cell r="K9">
            <v>0.06</v>
          </cell>
        </row>
        <row r="10">
          <cell r="A10">
            <v>6</v>
          </cell>
          <cell r="B10">
            <v>-9.02</v>
          </cell>
          <cell r="C10">
            <v>-5.17</v>
          </cell>
          <cell r="D10">
            <v>-2.27</v>
          </cell>
          <cell r="E10">
            <v>-0.5</v>
          </cell>
          <cell r="F10">
            <v>0.34</v>
          </cell>
          <cell r="G10">
            <v>0.59</v>
          </cell>
          <cell r="H10">
            <v>0.53</v>
          </cell>
          <cell r="I10">
            <v>0.35</v>
          </cell>
          <cell r="J10">
            <v>0.17</v>
          </cell>
          <cell r="K10">
            <v>0.01</v>
          </cell>
        </row>
        <row r="11">
          <cell r="A11">
            <v>8</v>
          </cell>
          <cell r="B11">
            <v>-10.42</v>
          </cell>
          <cell r="C11">
            <v>-5.36</v>
          </cell>
          <cell r="D11">
            <v>-1.85</v>
          </cell>
          <cell r="E11">
            <v>-0.02</v>
          </cell>
          <cell r="F11">
            <v>0.63</v>
          </cell>
          <cell r="G11">
            <v>0.66</v>
          </cell>
          <cell r="H11">
            <v>0.46</v>
          </cell>
          <cell r="I11">
            <v>0.24</v>
          </cell>
          <cell r="J11">
            <v>0.09</v>
          </cell>
          <cell r="K11">
            <v>0.01</v>
          </cell>
        </row>
        <row r="12">
          <cell r="A12">
            <v>10</v>
          </cell>
          <cell r="B12">
            <v>-11.67</v>
          </cell>
          <cell r="C12">
            <v>-5.43</v>
          </cell>
          <cell r="D12">
            <v>-1.43</v>
          </cell>
          <cell r="E12">
            <v>0.36</v>
          </cell>
          <cell r="F12">
            <v>0.78</v>
          </cell>
          <cell r="G12">
            <v>0.62</v>
          </cell>
          <cell r="H12">
            <v>0.33</v>
          </cell>
          <cell r="I12">
            <v>0.12</v>
          </cell>
          <cell r="J12">
            <v>0.02</v>
          </cell>
          <cell r="K12">
            <v>0</v>
          </cell>
        </row>
        <row r="13">
          <cell r="A13">
            <v>12</v>
          </cell>
          <cell r="B13">
            <v>-12.76</v>
          </cell>
          <cell r="C13">
            <v>-5.41</v>
          </cell>
          <cell r="D13">
            <v>-1.03</v>
          </cell>
          <cell r="E13">
            <v>0.63</v>
          </cell>
          <cell r="F13">
            <v>0.83</v>
          </cell>
          <cell r="G13">
            <v>0.52</v>
          </cell>
          <cell r="H13">
            <v>0.21</v>
          </cell>
          <cell r="I13">
            <v>0.04</v>
          </cell>
          <cell r="J13">
            <v>-0.02</v>
          </cell>
          <cell r="K13">
            <v>0</v>
          </cell>
        </row>
        <row r="14">
          <cell r="A14">
            <v>14</v>
          </cell>
          <cell r="B14">
            <v>-13.77</v>
          </cell>
          <cell r="C14">
            <v>-5.34</v>
          </cell>
          <cell r="D14">
            <v>-0.68</v>
          </cell>
          <cell r="E14">
            <v>0.8</v>
          </cell>
          <cell r="F14">
            <v>0.81</v>
          </cell>
          <cell r="G14">
            <v>0.42</v>
          </cell>
          <cell r="H14">
            <v>0.13</v>
          </cell>
          <cell r="I14">
            <v>0</v>
          </cell>
          <cell r="J14">
            <v>-0.03</v>
          </cell>
          <cell r="K14">
            <v>-0.01</v>
          </cell>
        </row>
        <row r="15">
          <cell r="A15">
            <v>16</v>
          </cell>
          <cell r="B15">
            <v>-14.74</v>
          </cell>
          <cell r="C15">
            <v>-5.22</v>
          </cell>
          <cell r="D15">
            <v>-0.33</v>
          </cell>
          <cell r="E15">
            <v>0.96</v>
          </cell>
          <cell r="F15">
            <v>0.76</v>
          </cell>
          <cell r="G15">
            <v>0.32</v>
          </cell>
          <cell r="H15">
            <v>0.05</v>
          </cell>
          <cell r="I15">
            <v>-0.04</v>
          </cell>
          <cell r="J15">
            <v>-0.05</v>
          </cell>
          <cell r="K15">
            <v>-0.02</v>
          </cell>
        </row>
      </sheetData>
      <sheetData sheetId="22">
        <row r="2">
          <cell r="A2">
            <v>0.4</v>
          </cell>
          <cell r="B2">
            <v>9.2999999999999999E-2</v>
          </cell>
          <cell r="C2">
            <v>0.17199999999999999</v>
          </cell>
          <cell r="D2">
            <v>0.24</v>
          </cell>
          <cell r="E2">
            <v>0.3</v>
          </cell>
          <cell r="F2">
            <v>0.35399999999999998</v>
          </cell>
          <cell r="G2">
            <v>0.40200000000000002</v>
          </cell>
          <cell r="H2">
            <v>0.44800000000000001</v>
          </cell>
          <cell r="I2">
            <v>0.49199999999999999</v>
          </cell>
          <cell r="J2">
            <v>0.53500000000000003</v>
          </cell>
          <cell r="K2">
            <v>0.57799999999999996</v>
          </cell>
        </row>
        <row r="3">
          <cell r="A3">
            <v>0.8</v>
          </cell>
          <cell r="B3">
            <v>8.5000000000000006E-2</v>
          </cell>
          <cell r="C3">
            <v>0.14499999999999999</v>
          </cell>
          <cell r="D3">
            <v>0.185</v>
          </cell>
          <cell r="E3">
            <v>0.20799999999999999</v>
          </cell>
          <cell r="F3">
            <v>0.22</v>
          </cell>
          <cell r="G3">
            <v>0.224</v>
          </cell>
          <cell r="H3">
            <v>0.223</v>
          </cell>
          <cell r="I3">
            <v>0.219</v>
          </cell>
          <cell r="J3">
            <v>0.214</v>
          </cell>
          <cell r="K3">
            <v>0.20799999999999999</v>
          </cell>
        </row>
        <row r="4">
          <cell r="A4">
            <v>1.2</v>
          </cell>
          <cell r="B4">
            <v>8.2000000000000003E-2</v>
          </cell>
          <cell r="C4">
            <v>0.13200000000000001</v>
          </cell>
          <cell r="D4">
            <v>0.157</v>
          </cell>
          <cell r="E4">
            <v>0.16400000000000001</v>
          </cell>
          <cell r="F4">
            <v>0.159</v>
          </cell>
          <cell r="G4">
            <v>0.14499999999999999</v>
          </cell>
          <cell r="H4">
            <v>0.127</v>
          </cell>
          <cell r="I4">
            <v>0.106</v>
          </cell>
          <cell r="J4">
            <v>8.4000000000000005E-2</v>
          </cell>
          <cell r="K4">
            <v>6.2E-2</v>
          </cell>
        </row>
        <row r="5">
          <cell r="A5">
            <v>1.6</v>
          </cell>
          <cell r="B5">
            <v>7.9000000000000001E-2</v>
          </cell>
          <cell r="C5">
            <v>0.122</v>
          </cell>
          <cell r="D5">
            <v>0.13900000000000001</v>
          </cell>
          <cell r="E5">
            <v>0.13800000000000001</v>
          </cell>
          <cell r="F5">
            <v>0.125</v>
          </cell>
          <cell r="G5">
            <v>0.105</v>
          </cell>
          <cell r="H5">
            <v>8.1000000000000003E-2</v>
          </cell>
          <cell r="I5">
            <v>5.6000000000000001E-2</v>
          </cell>
          <cell r="J5">
            <v>0.03</v>
          </cell>
          <cell r="K5">
            <v>4.0000000000000001E-3</v>
          </cell>
        </row>
        <row r="6">
          <cell r="A6">
            <v>2</v>
          </cell>
          <cell r="B6">
            <v>7.6999999999999999E-2</v>
          </cell>
          <cell r="C6">
            <v>0.115</v>
          </cell>
          <cell r="D6">
            <v>0.126</v>
          </cell>
          <cell r="E6">
            <v>0.11899999999999999</v>
          </cell>
          <cell r="F6">
            <v>0.10299999999999999</v>
          </cell>
          <cell r="G6">
            <v>0.08</v>
          </cell>
          <cell r="H6">
            <v>5.6000000000000001E-2</v>
          </cell>
          <cell r="I6">
            <v>3.1E-2</v>
          </cell>
          <cell r="J6">
            <v>6.0000000000000001E-3</v>
          </cell>
          <cell r="K6">
            <v>-1.9E-2</v>
          </cell>
        </row>
        <row r="7">
          <cell r="A7">
            <v>3</v>
          </cell>
          <cell r="B7">
            <v>7.1999999999999995E-2</v>
          </cell>
          <cell r="C7">
            <v>0.1</v>
          </cell>
          <cell r="D7">
            <v>0.1</v>
          </cell>
          <cell r="E7">
            <v>8.5999999999999993E-2</v>
          </cell>
          <cell r="F7">
            <v>6.6000000000000003E-2</v>
          </cell>
          <cell r="G7">
            <v>4.3999999999999997E-2</v>
          </cell>
          <cell r="H7">
            <v>2.5000000000000001E-2</v>
          </cell>
          <cell r="I7">
            <v>6.0000000000000001E-3</v>
          </cell>
          <cell r="J7">
            <v>-0.01</v>
          </cell>
          <cell r="K7">
            <v>-2.4E-2</v>
          </cell>
        </row>
        <row r="8">
          <cell r="A8">
            <v>4</v>
          </cell>
          <cell r="B8">
            <v>6.8000000000000005E-2</v>
          </cell>
          <cell r="C8">
            <v>8.7999999999999995E-2</v>
          </cell>
          <cell r="D8">
            <v>8.1000000000000003E-2</v>
          </cell>
          <cell r="E8">
            <v>8.3000000000000004E-2</v>
          </cell>
          <cell r="F8">
            <v>4.2999999999999997E-2</v>
          </cell>
          <cell r="G8">
            <v>2.5000000000000001E-2</v>
          </cell>
          <cell r="H8">
            <v>0.01</v>
          </cell>
          <cell r="I8">
            <v>-1E-3</v>
          </cell>
          <cell r="J8">
            <v>-0.01</v>
          </cell>
          <cell r="K8">
            <v>-1.9E-2</v>
          </cell>
        </row>
        <row r="9">
          <cell r="A9">
            <v>5</v>
          </cell>
          <cell r="B9">
            <v>6.4000000000000001E-2</v>
          </cell>
          <cell r="C9">
            <v>7.8E-2</v>
          </cell>
          <cell r="D9">
            <v>6.7000000000000004E-2</v>
          </cell>
          <cell r="E9">
            <v>4.7E-2</v>
          </cell>
          <cell r="F9">
            <v>2.8000000000000001E-2</v>
          </cell>
          <cell r="G9">
            <v>1.2999999999999999E-2</v>
          </cell>
          <cell r="H9">
            <v>3.0000000000000001E-3</v>
          </cell>
          <cell r="I9">
            <v>-3.0000000000000001E-3</v>
          </cell>
          <cell r="J9">
            <v>-7.0000000000000001E-3</v>
          </cell>
          <cell r="K9">
            <v>-1.0999999999999999E-2</v>
          </cell>
        </row>
        <row r="10">
          <cell r="A10">
            <v>6</v>
          </cell>
          <cell r="B10">
            <v>6.2E-2</v>
          </cell>
          <cell r="C10">
            <v>7.0000000000000007E-2</v>
          </cell>
          <cell r="D10">
            <v>5.6000000000000001E-2</v>
          </cell>
          <cell r="E10">
            <v>3.5999999999999997E-2</v>
          </cell>
          <cell r="F10">
            <v>1.7999999999999999E-2</v>
          </cell>
          <cell r="G10">
            <v>6.0000000000000001E-3</v>
          </cell>
          <cell r="H10">
            <v>0</v>
          </cell>
          <cell r="I10">
            <v>-3.0000000000000001E-3</v>
          </cell>
          <cell r="J10">
            <v>-5.0000000000000001E-3</v>
          </cell>
          <cell r="K10">
            <v>-6.0000000000000001E-3</v>
          </cell>
        </row>
        <row r="11">
          <cell r="A11">
            <v>8</v>
          </cell>
          <cell r="B11">
            <v>5.7000000000000002E-2</v>
          </cell>
          <cell r="C11">
            <v>5.8000000000000003E-2</v>
          </cell>
          <cell r="D11">
            <v>4.1000000000000002E-2</v>
          </cell>
          <cell r="E11">
            <v>2.1000000000000001E-2</v>
          </cell>
          <cell r="F11">
            <v>7.0000000000000001E-3</v>
          </cell>
          <cell r="G11">
            <v>0</v>
          </cell>
          <cell r="H11">
            <v>-2E-3</v>
          </cell>
          <cell r="I11">
            <v>-3.0000000000000001E-3</v>
          </cell>
          <cell r="J11">
            <v>-2E-3</v>
          </cell>
          <cell r="K11">
            <v>-1E-3</v>
          </cell>
        </row>
        <row r="12">
          <cell r="A12">
            <v>10</v>
          </cell>
          <cell r="B12">
            <v>5.2999999999999999E-2</v>
          </cell>
          <cell r="C12">
            <v>4.9000000000000002E-2</v>
          </cell>
          <cell r="D12">
            <v>2.9000000000000001E-2</v>
          </cell>
          <cell r="E12">
            <v>1.2E-2</v>
          </cell>
          <cell r="F12">
            <v>2E-3</v>
          </cell>
          <cell r="G12">
            <v>-2E-3</v>
          </cell>
          <cell r="H12">
            <v>-2E-3</v>
          </cell>
          <cell r="I12">
            <v>-2E-3</v>
          </cell>
          <cell r="J12">
            <v>-1E-3</v>
          </cell>
          <cell r="K12">
            <v>0</v>
          </cell>
        </row>
        <row r="13">
          <cell r="A13">
            <v>12</v>
          </cell>
          <cell r="B13">
            <v>4.9000000000000002E-2</v>
          </cell>
          <cell r="C13">
            <v>4.2000000000000003E-2</v>
          </cell>
          <cell r="D13">
            <v>2.1999999999999999E-2</v>
          </cell>
          <cell r="E13">
            <v>7.0000000000000001E-3</v>
          </cell>
          <cell r="F13">
            <v>0</v>
          </cell>
          <cell r="G13">
            <v>-2E-3</v>
          </cell>
          <cell r="H13">
            <v>-2E-3</v>
          </cell>
          <cell r="I13">
            <v>-1E-3</v>
          </cell>
          <cell r="J13">
            <v>0</v>
          </cell>
          <cell r="K13">
            <v>0</v>
          </cell>
        </row>
        <row r="14">
          <cell r="A14">
            <v>14</v>
          </cell>
          <cell r="B14">
            <v>4.5999999999999999E-2</v>
          </cell>
          <cell r="C14">
            <v>3.5999999999999997E-2</v>
          </cell>
          <cell r="D14">
            <v>1.7000000000000001E-2</v>
          </cell>
          <cell r="E14">
            <v>4.0000000000000001E-3</v>
          </cell>
          <cell r="F14">
            <v>-1E-3</v>
          </cell>
          <cell r="G14">
            <v>-2E-3</v>
          </cell>
          <cell r="H14">
            <v>-1E-3</v>
          </cell>
          <cell r="I14">
            <v>-1E-3</v>
          </cell>
          <cell r="J14">
            <v>0</v>
          </cell>
          <cell r="K14">
            <v>0</v>
          </cell>
        </row>
        <row r="15">
          <cell r="A15">
            <v>16</v>
          </cell>
          <cell r="B15">
            <v>4.3999999999999997E-2</v>
          </cell>
          <cell r="C15">
            <v>3.1E-2</v>
          </cell>
          <cell r="D15">
            <v>1.2E-2</v>
          </cell>
          <cell r="E15">
            <v>1E-3</v>
          </cell>
          <cell r="F15">
            <v>-2E-3</v>
          </cell>
          <cell r="G15">
            <v>-2E-3</v>
          </cell>
          <cell r="H15">
            <v>-1E-3</v>
          </cell>
          <cell r="I15">
            <v>0</v>
          </cell>
          <cell r="J15">
            <v>0</v>
          </cell>
          <cell r="K15">
            <v>0</v>
          </cell>
        </row>
      </sheetData>
      <sheetData sheetId="23">
        <row r="2">
          <cell r="A2">
            <v>0.4</v>
          </cell>
          <cell r="B2">
            <v>2.7</v>
          </cell>
          <cell r="C2">
            <v>2.5</v>
          </cell>
          <cell r="D2">
            <v>2.2999999999999998</v>
          </cell>
          <cell r="E2">
            <v>2.12</v>
          </cell>
          <cell r="F2">
            <v>1.91</v>
          </cell>
          <cell r="G2">
            <v>1.69</v>
          </cell>
          <cell r="H2">
            <v>1.41</v>
          </cell>
          <cell r="I2">
            <v>1.1299999999999999</v>
          </cell>
          <cell r="J2">
            <v>0.8</v>
          </cell>
          <cell r="K2">
            <v>0.44</v>
          </cell>
        </row>
        <row r="3">
          <cell r="A3">
            <v>0.8</v>
          </cell>
          <cell r="B3">
            <v>2.02</v>
          </cell>
          <cell r="C3">
            <v>2.06</v>
          </cell>
          <cell r="D3">
            <v>2.1</v>
          </cell>
          <cell r="E3">
            <v>2.14</v>
          </cell>
          <cell r="F3">
            <v>2.1</v>
          </cell>
          <cell r="G3">
            <v>2.02</v>
          </cell>
          <cell r="H3">
            <v>1.95</v>
          </cell>
          <cell r="I3">
            <v>1.75</v>
          </cell>
          <cell r="J3">
            <v>1.39</v>
          </cell>
          <cell r="K3">
            <v>0.8</v>
          </cell>
        </row>
        <row r="4">
          <cell r="A4">
            <v>1.2</v>
          </cell>
          <cell r="B4">
            <v>1.06</v>
          </cell>
          <cell r="C4">
            <v>1.42</v>
          </cell>
          <cell r="D4">
            <v>1.79</v>
          </cell>
          <cell r="E4">
            <v>2.0299999999999998</v>
          </cell>
          <cell r="F4">
            <v>2.46</v>
          </cell>
          <cell r="G4">
            <v>2.65</v>
          </cell>
          <cell r="H4">
            <v>2.8</v>
          </cell>
          <cell r="I4">
            <v>2.6</v>
          </cell>
          <cell r="J4">
            <v>2.2200000000000002</v>
          </cell>
          <cell r="K4">
            <v>1.37</v>
          </cell>
        </row>
        <row r="5">
          <cell r="A5">
            <v>1.6</v>
          </cell>
          <cell r="B5">
            <v>0.12</v>
          </cell>
          <cell r="C5">
            <v>0.79</v>
          </cell>
          <cell r="D5">
            <v>1.43</v>
          </cell>
          <cell r="E5">
            <v>2.04</v>
          </cell>
          <cell r="F5">
            <v>2.72</v>
          </cell>
          <cell r="G5">
            <v>3.25</v>
          </cell>
          <cell r="H5">
            <v>3.58</v>
          </cell>
          <cell r="I5">
            <v>3.59</v>
          </cell>
          <cell r="J5">
            <v>3.13</v>
          </cell>
          <cell r="K5">
            <v>2.0099999999999998</v>
          </cell>
        </row>
        <row r="6">
          <cell r="A6">
            <v>2</v>
          </cell>
          <cell r="B6">
            <v>-0.68</v>
          </cell>
          <cell r="C6">
            <v>0.22</v>
          </cell>
          <cell r="D6">
            <v>1.1000000000000001</v>
          </cell>
          <cell r="E6">
            <v>2.02</v>
          </cell>
          <cell r="F6">
            <v>2.9</v>
          </cell>
          <cell r="G6">
            <v>3.69</v>
          </cell>
          <cell r="H6">
            <v>4.3</v>
          </cell>
          <cell r="I6">
            <v>4.54</v>
          </cell>
          <cell r="J6">
            <v>4.08</v>
          </cell>
          <cell r="K6">
            <v>2.75</v>
          </cell>
        </row>
        <row r="7">
          <cell r="A7">
            <v>3</v>
          </cell>
          <cell r="B7">
            <v>-1.78</v>
          </cell>
          <cell r="C7">
            <v>-0.71</v>
          </cell>
          <cell r="D7">
            <v>0.43</v>
          </cell>
          <cell r="E7">
            <v>1.6</v>
          </cell>
          <cell r="F7">
            <v>2.95</v>
          </cell>
          <cell r="G7">
            <v>4.29</v>
          </cell>
          <cell r="H7">
            <v>5.66</v>
          </cell>
          <cell r="I7">
            <v>6.58</v>
          </cell>
          <cell r="J7">
            <v>6.55</v>
          </cell>
          <cell r="K7">
            <v>4.7300000000000004</v>
          </cell>
        </row>
        <row r="8">
          <cell r="A8">
            <v>4</v>
          </cell>
          <cell r="B8">
            <v>-1.87</v>
          </cell>
          <cell r="C8">
            <v>-1</v>
          </cell>
          <cell r="D8">
            <v>-0.08</v>
          </cell>
          <cell r="E8">
            <v>1.04</v>
          </cell>
          <cell r="F8">
            <v>2.4700000000000002</v>
          </cell>
          <cell r="G8">
            <v>4.3099999999999996</v>
          </cell>
          <cell r="H8">
            <v>6.34</v>
          </cell>
          <cell r="I8">
            <v>8.19</v>
          </cell>
          <cell r="J8">
            <v>8.82</v>
          </cell>
          <cell r="K8">
            <v>6.81</v>
          </cell>
        </row>
        <row r="9">
          <cell r="A9">
            <v>5</v>
          </cell>
          <cell r="B9">
            <v>-1.54</v>
          </cell>
          <cell r="C9">
            <v>-1.03</v>
          </cell>
          <cell r="D9">
            <v>-0.42</v>
          </cell>
          <cell r="E9">
            <v>0.45</v>
          </cell>
          <cell r="F9">
            <v>1.86</v>
          </cell>
          <cell r="G9">
            <v>3.93</v>
          </cell>
          <cell r="H9">
            <v>6.6</v>
          </cell>
          <cell r="I9">
            <v>9.41</v>
          </cell>
          <cell r="J9">
            <v>11.03</v>
          </cell>
          <cell r="K9">
            <v>9.02</v>
          </cell>
        </row>
        <row r="10">
          <cell r="A10">
            <v>6</v>
          </cell>
          <cell r="B10">
            <v>-1.04</v>
          </cell>
          <cell r="C10">
            <v>-0.86</v>
          </cell>
          <cell r="D10">
            <v>-0.59</v>
          </cell>
          <cell r="E10">
            <v>-0.05</v>
          </cell>
          <cell r="F10">
            <v>1.21</v>
          </cell>
          <cell r="G10">
            <v>3.34</v>
          </cell>
          <cell r="H10">
            <v>6.54</v>
          </cell>
          <cell r="I10">
            <v>10.28</v>
          </cell>
          <cell r="J10">
            <v>13.08</v>
          </cell>
          <cell r="K10">
            <v>11.41</v>
          </cell>
        </row>
        <row r="11">
          <cell r="A11">
            <v>8</v>
          </cell>
          <cell r="B11">
            <v>-0.24</v>
          </cell>
          <cell r="C11">
            <v>-0.53</v>
          </cell>
          <cell r="D11">
            <v>-0.73</v>
          </cell>
          <cell r="E11">
            <v>-0.67</v>
          </cell>
          <cell r="F11">
            <v>-0.02</v>
          </cell>
          <cell r="G11">
            <v>2.0499999999999998</v>
          </cell>
          <cell r="H11">
            <v>5.87</v>
          </cell>
          <cell r="I11">
            <v>11.32</v>
          </cell>
          <cell r="J11">
            <v>16.52</v>
          </cell>
          <cell r="K11">
            <v>16.059999999999999</v>
          </cell>
        </row>
        <row r="12">
          <cell r="A12">
            <v>10</v>
          </cell>
          <cell r="B12">
            <v>0.21</v>
          </cell>
          <cell r="C12">
            <v>-0.23</v>
          </cell>
          <cell r="D12">
            <v>-0.64</v>
          </cell>
          <cell r="E12">
            <v>-0.94</v>
          </cell>
          <cell r="F12">
            <v>-0.73</v>
          </cell>
          <cell r="G12">
            <v>0.62</v>
          </cell>
          <cell r="H12">
            <v>4.79</v>
          </cell>
          <cell r="I12">
            <v>11.63</v>
          </cell>
          <cell r="J12">
            <v>19.48</v>
          </cell>
          <cell r="K12">
            <v>20.87</v>
          </cell>
        </row>
        <row r="13">
          <cell r="A13">
            <v>12</v>
          </cell>
          <cell r="B13">
            <v>0.32</v>
          </cell>
          <cell r="C13">
            <v>-0.05</v>
          </cell>
          <cell r="D13">
            <v>-0.46</v>
          </cell>
          <cell r="E13">
            <v>-0.96</v>
          </cell>
          <cell r="F13">
            <v>-1.1499999999999999</v>
          </cell>
          <cell r="G13">
            <v>-0.18</v>
          </cell>
          <cell r="H13">
            <v>3.52</v>
          </cell>
          <cell r="I13">
            <v>11.27</v>
          </cell>
          <cell r="J13">
            <v>21.8</v>
          </cell>
          <cell r="K13">
            <v>25.73</v>
          </cell>
        </row>
        <row r="14">
          <cell r="A14">
            <v>14</v>
          </cell>
          <cell r="B14">
            <v>0.26</v>
          </cell>
          <cell r="C14">
            <v>0.04</v>
          </cell>
          <cell r="D14">
            <v>-0.28000000000000003</v>
          </cell>
          <cell r="E14">
            <v>-0.76</v>
          </cell>
          <cell r="F14">
            <v>-1.29</v>
          </cell>
          <cell r="G14">
            <v>-0.87</v>
          </cell>
          <cell r="H14">
            <v>2.29</v>
          </cell>
          <cell r="I14">
            <v>10.55</v>
          </cell>
          <cell r="J14">
            <v>23.5</v>
          </cell>
          <cell r="K14">
            <v>30.34</v>
          </cell>
        </row>
        <row r="15">
          <cell r="A15">
            <v>16</v>
          </cell>
          <cell r="B15">
            <v>0.22</v>
          </cell>
          <cell r="C15">
            <v>7.0000000000000007E-2</v>
          </cell>
          <cell r="D15">
            <v>-0.08</v>
          </cell>
          <cell r="E15">
            <v>-0.64</v>
          </cell>
          <cell r="F15">
            <v>-1.28</v>
          </cell>
          <cell r="G15">
            <v>-1.3</v>
          </cell>
          <cell r="H15">
            <v>1.1200000000000001</v>
          </cell>
          <cell r="I15">
            <v>9.67</v>
          </cell>
          <cell r="J15">
            <v>24.53</v>
          </cell>
          <cell r="K15">
            <v>34.65</v>
          </cell>
        </row>
      </sheetData>
      <sheetData sheetId="24">
        <row r="2">
          <cell r="A2">
            <v>0.4</v>
          </cell>
          <cell r="B2">
            <v>1.2999999999999999E-2</v>
          </cell>
          <cell r="C2">
            <v>5.0999999999999997E-2</v>
          </cell>
          <cell r="D2">
            <v>0.109</v>
          </cell>
          <cell r="E2">
            <v>0.19600000000000001</v>
          </cell>
          <cell r="F2">
            <v>0.29599999999999999</v>
          </cell>
          <cell r="G2">
            <v>0.41399999999999998</v>
          </cell>
          <cell r="H2">
            <v>0.54700000000000004</v>
          </cell>
          <cell r="I2">
            <v>0.69199999999999995</v>
          </cell>
          <cell r="J2">
            <v>0.84299999999999997</v>
          </cell>
          <cell r="K2">
            <v>1</v>
          </cell>
        </row>
        <row r="3">
          <cell r="A3">
            <v>0.8</v>
          </cell>
          <cell r="B3">
            <v>8.9999999999999993E-3</v>
          </cell>
          <cell r="C3">
            <v>0.04</v>
          </cell>
          <cell r="D3">
            <v>0.09</v>
          </cell>
          <cell r="E3">
            <v>0.16400000000000001</v>
          </cell>
          <cell r="F3">
            <v>0.253</v>
          </cell>
          <cell r="G3">
            <v>0.375</v>
          </cell>
          <cell r="H3">
            <v>0.503</v>
          </cell>
          <cell r="I3">
            <v>0.65900000000000003</v>
          </cell>
          <cell r="J3">
            <v>0.82399999999999995</v>
          </cell>
          <cell r="K3">
            <v>1</v>
          </cell>
        </row>
        <row r="4">
          <cell r="A4">
            <v>1.2</v>
          </cell>
          <cell r="B4">
            <v>6.0000000000000001E-3</v>
          </cell>
          <cell r="C4">
            <v>2.7E-2</v>
          </cell>
          <cell r="D4">
            <v>6.3E-2</v>
          </cell>
          <cell r="E4">
            <v>0.125</v>
          </cell>
          <cell r="F4">
            <v>0.20599999999999999</v>
          </cell>
          <cell r="G4">
            <v>0.316</v>
          </cell>
          <cell r="H4">
            <v>0.45400000000000001</v>
          </cell>
          <cell r="I4">
            <v>0.61599999999999999</v>
          </cell>
          <cell r="J4">
            <v>0.80200000000000005</v>
          </cell>
          <cell r="K4">
            <v>1</v>
          </cell>
        </row>
        <row r="5">
          <cell r="A5">
            <v>1.6</v>
          </cell>
          <cell r="B5">
            <v>3.0000000000000001E-3</v>
          </cell>
          <cell r="C5">
            <v>1.0999999999999999E-2</v>
          </cell>
          <cell r="D5">
            <v>3.5000000000000003E-2</v>
          </cell>
          <cell r="E5">
            <v>7.8E-2</v>
          </cell>
          <cell r="F5">
            <v>0.152</v>
          </cell>
          <cell r="G5">
            <v>0.253</v>
          </cell>
          <cell r="H5">
            <v>0.39300000000000002</v>
          </cell>
          <cell r="I5">
            <v>0.56999999999999995</v>
          </cell>
          <cell r="J5">
            <v>0.77500000000000002</v>
          </cell>
          <cell r="K5">
            <v>1</v>
          </cell>
        </row>
        <row r="6">
          <cell r="A6">
            <v>2</v>
          </cell>
          <cell r="B6">
            <v>-2E-3</v>
          </cell>
          <cell r="C6">
            <v>-2E-3</v>
          </cell>
          <cell r="D6">
            <v>1.2E-2</v>
          </cell>
          <cell r="E6">
            <v>3.4000000000000002E-2</v>
          </cell>
          <cell r="F6">
            <v>9.6000000000000002E-2</v>
          </cell>
          <cell r="G6">
            <v>0.193</v>
          </cell>
          <cell r="H6">
            <v>0.34</v>
          </cell>
          <cell r="I6">
            <v>0.51900000000000002</v>
          </cell>
          <cell r="J6">
            <v>0.748</v>
          </cell>
          <cell r="K6">
            <v>1</v>
          </cell>
        </row>
        <row r="7">
          <cell r="A7">
            <v>3</v>
          </cell>
          <cell r="B7">
            <v>-7.0000000000000001E-3</v>
          </cell>
          <cell r="C7">
            <v>-2.1999999999999999E-2</v>
          </cell>
          <cell r="D7">
            <v>-0.03</v>
          </cell>
          <cell r="E7">
            <v>-2.9000000000000001E-2</v>
          </cell>
          <cell r="F7">
            <v>0.01</v>
          </cell>
          <cell r="G7">
            <v>8.6999999999999994E-2</v>
          </cell>
          <cell r="H7">
            <v>0.22700000000000001</v>
          </cell>
          <cell r="I7">
            <v>0.42599999999999999</v>
          </cell>
          <cell r="J7">
            <v>0.69199999999999995</v>
          </cell>
          <cell r="K7">
            <v>1</v>
          </cell>
        </row>
        <row r="8">
          <cell r="A8">
            <v>4</v>
          </cell>
          <cell r="B8">
            <v>-8.0000000000000002E-3</v>
          </cell>
          <cell r="C8">
            <v>-2.5999999999999999E-2</v>
          </cell>
          <cell r="D8">
            <v>-4.3999999999999997E-2</v>
          </cell>
          <cell r="E8">
            <v>-5.0999999999999997E-2</v>
          </cell>
          <cell r="F8">
            <v>-3.4000000000000002E-2</v>
          </cell>
          <cell r="G8">
            <v>2.3E-2</v>
          </cell>
          <cell r="H8">
            <v>0.15</v>
          </cell>
          <cell r="I8">
            <v>0.35399999999999998</v>
          </cell>
          <cell r="J8">
            <v>0.64500000000000002</v>
          </cell>
          <cell r="K8">
            <v>1</v>
          </cell>
        </row>
        <row r="9">
          <cell r="A9">
            <v>5</v>
          </cell>
          <cell r="B9">
            <v>-7.0000000000000001E-3</v>
          </cell>
          <cell r="C9">
            <v>-2.4E-2</v>
          </cell>
          <cell r="D9">
            <v>-4.4999999999999998E-2</v>
          </cell>
          <cell r="E9">
            <v>-6.0999999999999999E-2</v>
          </cell>
          <cell r="F9">
            <v>-5.7000000000000002E-2</v>
          </cell>
          <cell r="G9">
            <v>-1.4999999999999999E-2</v>
          </cell>
          <cell r="H9">
            <v>9.5000000000000001E-2</v>
          </cell>
          <cell r="I9">
            <v>0.29599999999999999</v>
          </cell>
          <cell r="J9">
            <v>0.60599999999999998</v>
          </cell>
          <cell r="K9">
            <v>1</v>
          </cell>
        </row>
        <row r="10">
          <cell r="A10">
            <v>6</v>
          </cell>
          <cell r="B10">
            <v>-5.0000000000000001E-3</v>
          </cell>
          <cell r="C10">
            <v>-1.7999999999999999E-2</v>
          </cell>
          <cell r="D10">
            <v>-0.04</v>
          </cell>
          <cell r="E10">
            <v>-5.8000000000000003E-2</v>
          </cell>
          <cell r="F10">
            <v>-6.5000000000000002E-2</v>
          </cell>
          <cell r="G10">
            <v>-3.6999999999999998E-2</v>
          </cell>
          <cell r="H10">
            <v>5.7000000000000002E-2</v>
          </cell>
          <cell r="I10">
            <v>0.252</v>
          </cell>
          <cell r="J10">
            <v>0.57199999999999995</v>
          </cell>
          <cell r="K10">
            <v>1</v>
          </cell>
        </row>
        <row r="11">
          <cell r="A11">
            <v>8</v>
          </cell>
          <cell r="B11">
            <v>-1E-3</v>
          </cell>
          <cell r="C11">
            <v>-8.9999999999999993E-3</v>
          </cell>
          <cell r="D11">
            <v>-2.1999999999999999E-2</v>
          </cell>
          <cell r="E11">
            <v>-4.3999999999999997E-2</v>
          </cell>
          <cell r="F11">
            <v>-6.8000000000000005E-2</v>
          </cell>
          <cell r="G11">
            <v>-6.2E-2</v>
          </cell>
          <cell r="H11">
            <v>2E-3</v>
          </cell>
          <cell r="I11">
            <v>0.17799999999999999</v>
          </cell>
          <cell r="J11">
            <v>0.51500000000000001</v>
          </cell>
          <cell r="K11">
            <v>1</v>
          </cell>
        </row>
        <row r="12">
          <cell r="A12">
            <v>10</v>
          </cell>
          <cell r="B12">
            <v>0</v>
          </cell>
          <cell r="C12">
            <v>-2E-3</v>
          </cell>
          <cell r="D12">
            <v>-8.9999999999999993E-3</v>
          </cell>
          <cell r="E12">
            <v>-2.8000000000000001E-2</v>
          </cell>
          <cell r="F12">
            <v>-5.2999999999999999E-2</v>
          </cell>
          <cell r="G12">
            <v>-6.7000000000000004E-2</v>
          </cell>
          <cell r="H12">
            <v>-3.1E-2</v>
          </cell>
          <cell r="I12">
            <v>0.123</v>
          </cell>
          <cell r="J12">
            <v>0.46700000000000003</v>
          </cell>
          <cell r="K12">
            <v>1</v>
          </cell>
        </row>
        <row r="13">
          <cell r="A13">
            <v>12</v>
          </cell>
          <cell r="B13">
            <v>0</v>
          </cell>
          <cell r="C13">
            <v>0</v>
          </cell>
          <cell r="D13">
            <v>-3.0000000000000001E-3</v>
          </cell>
          <cell r="E13">
            <v>-1.6E-2</v>
          </cell>
          <cell r="F13">
            <v>-0.04</v>
          </cell>
          <cell r="G13">
            <v>-6.4000000000000001E-2</v>
          </cell>
          <cell r="H13">
            <v>-4.9000000000000002E-2</v>
          </cell>
          <cell r="I13">
            <v>8.1000000000000003E-2</v>
          </cell>
          <cell r="J13">
            <v>0.42399999999999999</v>
          </cell>
          <cell r="K13">
            <v>1</v>
          </cell>
        </row>
        <row r="14">
          <cell r="A14">
            <v>14</v>
          </cell>
          <cell r="B14">
            <v>0</v>
          </cell>
          <cell r="C14">
            <v>0</v>
          </cell>
          <cell r="D14">
            <v>0</v>
          </cell>
          <cell r="E14">
            <v>-8.0000000000000002E-3</v>
          </cell>
          <cell r="F14">
            <v>-2.9000000000000001E-2</v>
          </cell>
          <cell r="G14">
            <v>-5.8999999999999997E-2</v>
          </cell>
          <cell r="H14">
            <v>-0.06</v>
          </cell>
          <cell r="I14">
            <v>4.8000000000000001E-2</v>
          </cell>
          <cell r="J14">
            <v>0.38700000000000001</v>
          </cell>
          <cell r="K14">
            <v>1</v>
          </cell>
        </row>
        <row r="15">
          <cell r="A15">
            <v>16</v>
          </cell>
          <cell r="B15">
            <v>0</v>
          </cell>
          <cell r="C15">
            <v>0</v>
          </cell>
          <cell r="D15">
            <v>2E-3</v>
          </cell>
          <cell r="E15">
            <v>-3.0000000000000001E-3</v>
          </cell>
          <cell r="F15">
            <v>-2.1000000000000001E-2</v>
          </cell>
          <cell r="G15">
            <v>-5.0999999999999997E-2</v>
          </cell>
          <cell r="H15">
            <v>-6.6000000000000003E-2</v>
          </cell>
          <cell r="I15">
            <v>2.5000000000000001E-2</v>
          </cell>
          <cell r="J15">
            <v>0.35399999999999998</v>
          </cell>
          <cell r="K15">
            <v>1</v>
          </cell>
        </row>
      </sheetData>
      <sheetData sheetId="25">
        <row r="2">
          <cell r="A2">
            <v>0.4</v>
          </cell>
          <cell r="B2">
            <v>0.436</v>
          </cell>
          <cell r="C2">
            <v>0.755</v>
          </cell>
          <cell r="D2">
            <v>0.245</v>
          </cell>
          <cell r="E2">
            <v>-1.58</v>
          </cell>
        </row>
        <row r="3">
          <cell r="A3">
            <v>0.8</v>
          </cell>
          <cell r="B3">
            <v>0.374</v>
          </cell>
          <cell r="C3">
            <v>0.55200000000000005</v>
          </cell>
          <cell r="D3">
            <v>0.23400000000000001</v>
          </cell>
          <cell r="E3">
            <v>-1.75</v>
          </cell>
        </row>
        <row r="4">
          <cell r="A4">
            <v>1.2</v>
          </cell>
          <cell r="B4">
            <v>0.33900000000000002</v>
          </cell>
          <cell r="C4">
            <v>0.46</v>
          </cell>
          <cell r="D4">
            <v>0.22</v>
          </cell>
          <cell r="E4">
            <v>-2</v>
          </cell>
        </row>
        <row r="5">
          <cell r="A5">
            <v>1.6</v>
          </cell>
          <cell r="B5">
            <v>0.317</v>
          </cell>
          <cell r="C5">
            <v>0.40699999999999997</v>
          </cell>
          <cell r="D5">
            <v>0.20399999999999999</v>
          </cell>
          <cell r="E5">
            <v>-2.2799999999999998</v>
          </cell>
        </row>
        <row r="6">
          <cell r="A6">
            <v>2</v>
          </cell>
          <cell r="B6">
            <v>0.29899999999999999</v>
          </cell>
          <cell r="C6">
            <v>0.37</v>
          </cell>
          <cell r="D6">
            <v>0.189</v>
          </cell>
          <cell r="E6">
            <v>-2.57</v>
          </cell>
        </row>
        <row r="7">
          <cell r="A7">
            <v>3</v>
          </cell>
          <cell r="B7">
            <v>0.26200000000000001</v>
          </cell>
          <cell r="C7">
            <v>0.31</v>
          </cell>
          <cell r="D7">
            <v>0.158</v>
          </cell>
          <cell r="E7">
            <v>-3.18</v>
          </cell>
        </row>
        <row r="8">
          <cell r="A8">
            <v>4</v>
          </cell>
          <cell r="B8">
            <v>0.23599999999999999</v>
          </cell>
          <cell r="C8">
            <v>0.27100000000000002</v>
          </cell>
          <cell r="D8">
            <v>0.13700000000000001</v>
          </cell>
          <cell r="E8">
            <v>-3.68</v>
          </cell>
        </row>
        <row r="9">
          <cell r="A9">
            <v>5</v>
          </cell>
          <cell r="B9">
            <v>0.21299999999999999</v>
          </cell>
          <cell r="C9">
            <v>0.24299999999999999</v>
          </cell>
          <cell r="D9">
            <v>0.121</v>
          </cell>
          <cell r="E9">
            <v>-4.0999999999999996</v>
          </cell>
        </row>
        <row r="10">
          <cell r="A10">
            <v>6</v>
          </cell>
          <cell r="B10">
            <v>0.19700000000000001</v>
          </cell>
          <cell r="C10">
            <v>0.222</v>
          </cell>
          <cell r="D10">
            <v>0.11</v>
          </cell>
          <cell r="E10">
            <v>-4.49</v>
          </cell>
        </row>
        <row r="11">
          <cell r="A11">
            <v>8</v>
          </cell>
          <cell r="B11">
            <v>0.17399999999999999</v>
          </cell>
          <cell r="C11">
            <v>0.193</v>
          </cell>
          <cell r="D11">
            <v>9.6000000000000002E-2</v>
          </cell>
          <cell r="E11">
            <v>-5.18</v>
          </cell>
        </row>
        <row r="12">
          <cell r="A12">
            <v>10</v>
          </cell>
          <cell r="B12">
            <v>0.158</v>
          </cell>
          <cell r="C12">
            <v>0.17199999999999999</v>
          </cell>
          <cell r="D12">
            <v>8.6999999999999994E-2</v>
          </cell>
          <cell r="E12">
            <v>-5.81</v>
          </cell>
        </row>
        <row r="13">
          <cell r="A13">
            <v>12</v>
          </cell>
          <cell r="B13">
            <v>0.14499999999999999</v>
          </cell>
          <cell r="C13">
            <v>0.158</v>
          </cell>
          <cell r="D13">
            <v>7.9000000000000001E-2</v>
          </cell>
          <cell r="E13">
            <v>-6.38</v>
          </cell>
        </row>
        <row r="14">
          <cell r="A14">
            <v>14</v>
          </cell>
          <cell r="B14">
            <v>0.13500000000000001</v>
          </cell>
          <cell r="C14">
            <v>0.14699999999999999</v>
          </cell>
          <cell r="D14">
            <v>7.2999999999999995E-2</v>
          </cell>
          <cell r="E14">
            <v>-6.88</v>
          </cell>
        </row>
        <row r="15">
          <cell r="A15">
            <v>16</v>
          </cell>
          <cell r="B15">
            <v>0.127</v>
          </cell>
          <cell r="C15">
            <v>0.13700000000000001</v>
          </cell>
          <cell r="D15">
            <v>6.8000000000000005E-2</v>
          </cell>
          <cell r="E15">
            <v>-7.36</v>
          </cell>
        </row>
      </sheetData>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nicio"/>
      <sheetName val=" Introducción"/>
      <sheetName val="1. Estado de Resultados"/>
      <sheetName val="2. Balance General"/>
      <sheetName val="3. Flujo de Efectivo"/>
      <sheetName val="4. Vertical y Horizontal"/>
      <sheetName val="5. Razones Financieras"/>
      <sheetName val="6. Dupont"/>
      <sheetName val="7. Rentabilidad"/>
      <sheetName val="8. Solidez"/>
      <sheetName val="9. Puntualidad"/>
      <sheetName val="10. Flujo Financiero"/>
      <sheetName val="11. EVA"/>
      <sheetName val="12. Contribución"/>
      <sheetName val="13. Z-Score"/>
    </sheetNames>
    <sheetDataSet>
      <sheetData sheetId="0" refreshError="1"/>
      <sheetData sheetId="1" refreshError="1"/>
      <sheetData sheetId="2">
        <row r="6">
          <cell r="B6">
            <v>2006</v>
          </cell>
          <cell r="C6">
            <v>2007</v>
          </cell>
          <cell r="D6">
            <v>2008</v>
          </cell>
          <cell r="E6">
            <v>2009</v>
          </cell>
        </row>
        <row r="20">
          <cell r="B20">
            <v>28950</v>
          </cell>
          <cell r="C20">
            <v>29280</v>
          </cell>
          <cell r="D20">
            <v>26901</v>
          </cell>
          <cell r="E20">
            <v>18439</v>
          </cell>
        </row>
        <row r="23">
          <cell r="B23">
            <v>21955</v>
          </cell>
          <cell r="C23">
            <v>22803</v>
          </cell>
          <cell r="D23">
            <v>22175</v>
          </cell>
          <cell r="E23">
            <v>16902</v>
          </cell>
        </row>
        <row r="26">
          <cell r="B26">
            <v>6995</v>
          </cell>
          <cell r="C26">
            <v>6477</v>
          </cell>
          <cell r="D26">
            <v>4726</v>
          </cell>
          <cell r="E26">
            <v>1537</v>
          </cell>
        </row>
        <row r="41">
          <cell r="B41">
            <v>3663</v>
          </cell>
          <cell r="C41">
            <v>3283</v>
          </cell>
          <cell r="D41">
            <v>1140</v>
          </cell>
          <cell r="E41">
            <v>-1189</v>
          </cell>
        </row>
        <row r="66">
          <cell r="B66">
            <v>2248</v>
          </cell>
          <cell r="C66">
            <v>2564</v>
          </cell>
          <cell r="D66">
            <v>-74</v>
          </cell>
          <cell r="E66">
            <v>-1151</v>
          </cell>
        </row>
      </sheetData>
      <sheetData sheetId="3">
        <row r="6">
          <cell r="B6">
            <v>2006</v>
          </cell>
          <cell r="C6">
            <v>2007</v>
          </cell>
          <cell r="D6">
            <v>2008</v>
          </cell>
          <cell r="E6">
            <v>2009</v>
          </cell>
        </row>
        <row r="9">
          <cell r="B9">
            <v>2788</v>
          </cell>
          <cell r="C9">
            <v>2381</v>
          </cell>
          <cell r="D9">
            <v>1883</v>
          </cell>
          <cell r="E9">
            <v>1529</v>
          </cell>
        </row>
        <row r="11">
          <cell r="B11">
            <v>3380</v>
          </cell>
          <cell r="C11">
            <v>3084</v>
          </cell>
          <cell r="D11">
            <v>3238</v>
          </cell>
          <cell r="E11">
            <v>2328</v>
          </cell>
        </row>
        <row r="13">
          <cell r="B13">
            <v>8353</v>
          </cell>
          <cell r="C13">
            <v>7574</v>
          </cell>
          <cell r="D13">
            <v>8150</v>
          </cell>
          <cell r="E13">
            <v>7022</v>
          </cell>
        </row>
        <row r="14">
          <cell r="B14">
            <v>14007</v>
          </cell>
          <cell r="C14">
            <v>16541</v>
          </cell>
          <cell r="D14">
            <v>17455</v>
          </cell>
          <cell r="E14">
            <v>19828</v>
          </cell>
        </row>
        <row r="20">
          <cell r="B20">
            <v>37183</v>
          </cell>
          <cell r="C20">
            <v>38803</v>
          </cell>
          <cell r="D20">
            <v>37822</v>
          </cell>
          <cell r="E20">
            <v>38472</v>
          </cell>
        </row>
        <row r="25">
          <cell r="B25">
            <v>2407</v>
          </cell>
          <cell r="C25">
            <v>2644</v>
          </cell>
          <cell r="D25">
            <v>2518</v>
          </cell>
          <cell r="E25">
            <v>1954</v>
          </cell>
        </row>
        <row r="30">
          <cell r="B30">
            <v>6879</v>
          </cell>
          <cell r="C30">
            <v>7037</v>
          </cell>
          <cell r="D30">
            <v>7279</v>
          </cell>
          <cell r="E30">
            <v>5414</v>
          </cell>
        </row>
        <row r="36">
          <cell r="B36">
            <v>20752</v>
          </cell>
          <cell r="C36">
            <v>20327</v>
          </cell>
          <cell r="D36">
            <v>23490</v>
          </cell>
          <cell r="E36">
            <v>22912</v>
          </cell>
        </row>
        <row r="45">
          <cell r="B45">
            <v>1800</v>
          </cell>
          <cell r="C45">
            <v>2460</v>
          </cell>
          <cell r="D45">
            <v>2597</v>
          </cell>
          <cell r="E45">
            <v>3140</v>
          </cell>
        </row>
        <row r="46">
          <cell r="B46">
            <v>37183</v>
          </cell>
          <cell r="C46">
            <v>38803</v>
          </cell>
          <cell r="D46">
            <v>37822</v>
          </cell>
          <cell r="E46">
            <v>38472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ables/table1.xml><?xml version="1.0" encoding="utf-8"?>
<table xmlns="http://schemas.openxmlformats.org/spreadsheetml/2006/main" id="27" name="Table27" displayName="Table27" ref="B8:B20" headerRowCount="0" totalsRowShown="0" headerRowDxfId="729" dataDxfId="728" dataCellStyle="Hyperlink">
  <tableColumns count="1">
    <tableColumn id="1" name="Column1" headerRowDxfId="727" dataDxfId="726" dataCellStyle="Hyperlink"/>
  </tableColumns>
  <tableStyleInfo name="TableStyleMedium2" showFirstColumn="0" showLastColumn="0" showRowStripes="1" showColumnStripes="0"/>
</table>
</file>

<file path=xl/tables/table10.xml><?xml version="1.0" encoding="utf-8"?>
<table xmlns="http://schemas.openxmlformats.org/spreadsheetml/2006/main" id="17" name="AHER" displayName="AHER" ref="A55:K69" headerRowCount="0" headerRowDxfId="642" dataDxfId="641" totalsRowDxfId="640" dataCellStyle="Percent">
  <tableColumns count="11">
    <tableColumn id="1" name="Column1" totalsRowLabel="Total" headerRowDxfId="639" dataDxfId="638" totalsRowDxfId="637"/>
    <tableColumn id="2" name="Column2" headerRowDxfId="636" dataDxfId="635" totalsRowDxfId="634" dataCellStyle="Comma"/>
    <tableColumn id="3" name="Column10" headerRowDxfId="633" dataDxfId="632" totalsRowDxfId="631" dataCellStyle="Comma">
      <calculatedColumnFormula>+AHER[[#This Row],[Column4]]-AHER[[#This Row],[Column2]]</calculatedColumnFormula>
    </tableColumn>
    <tableColumn id="11" name="Column3" headerRowDxfId="630" dataDxfId="629" totalsRowDxfId="628" dataCellStyle="Comma">
      <calculatedColumnFormula>+AHER[[#This Row],[Column10]]/AHER[[#This Row],[Column2]]</calculatedColumnFormula>
    </tableColumn>
    <tableColumn id="4" name="Column4" headerRowDxfId="627" dataDxfId="626" totalsRowDxfId="625" dataCellStyle="Comma"/>
    <tableColumn id="5" name="Column11" headerRowDxfId="624" dataDxfId="623" totalsRowDxfId="622" dataCellStyle="Comma"/>
    <tableColumn id="12" name="Column5" headerRowDxfId="621" dataDxfId="620" totalsRowDxfId="619" dataCellStyle="Comma">
      <calculatedColumnFormula>+AHER[[#This Row],[Column4]]/$E$60</calculatedColumnFormula>
    </tableColumn>
    <tableColumn id="6" name="Column6" headerRowDxfId="618" dataDxfId="617" totalsRowDxfId="616" dataCellStyle="Comma"/>
    <tableColumn id="7" name="Column12" headerRowDxfId="615" dataDxfId="614" totalsRowDxfId="613" dataCellStyle="Comma"/>
    <tableColumn id="13" name="Column7" headerRowDxfId="612" dataDxfId="611" totalsRowDxfId="610" dataCellStyle="Comma">
      <calculatedColumnFormula>+AHER[[#This Row],[Column6]]/$H$60</calculatedColumnFormula>
    </tableColumn>
    <tableColumn id="8" name="Column8" totalsRowFunction="count" headerRowDxfId="609" dataDxfId="608" totalsRowDxfId="607" headerRowCellStyle="Comma"/>
  </tableColumns>
  <tableStyleInfo name="TableStyleLight16" showFirstColumn="0" showLastColumn="0" showRowStripes="1" showColumnStripes="0"/>
</table>
</file>

<file path=xl/tables/table11.xml><?xml version="1.0" encoding="utf-8"?>
<table xmlns="http://schemas.openxmlformats.org/spreadsheetml/2006/main" id="69" name="Table69" displayName="Table69" ref="A7:K46" headerRowCount="0" totalsRowShown="0" headerRowDxfId="606" tableBorderDxfId="605">
  <tableColumns count="11">
    <tableColumn id="1" name="Column1" headerRowDxfId="604"/>
    <tableColumn id="2" name="Column2" headerRowDxfId="603"/>
    <tableColumn id="3" name="Column3" headerRowDxfId="602"/>
    <tableColumn id="4" name="Column4" headerRowDxfId="601"/>
    <tableColumn id="5" name="Column5" headerRowDxfId="600" headerRowCellStyle="Comma"/>
    <tableColumn id="6" name="Column6" headerRowDxfId="599"/>
    <tableColumn id="7" name="Column7" headerRowDxfId="598"/>
    <tableColumn id="8" name="Column8" headerRowDxfId="597" headerRowCellStyle="Comma"/>
    <tableColumn id="9" name="Column9" headerRowDxfId="596"/>
    <tableColumn id="10" name="Column10" headerRowDxfId="595"/>
    <tableColumn id="11" name="Column11" headerRowDxfId="594" headerRowCellStyle="Comma"/>
  </tableColumns>
  <tableStyleInfo name="TableStyleLight16" showFirstColumn="0" showLastColumn="0" showRowStripes="1" showColumnStripes="0"/>
</table>
</file>

<file path=xl/tables/table12.xml><?xml version="1.0" encoding="utf-8"?>
<table xmlns="http://schemas.openxmlformats.org/spreadsheetml/2006/main" id="65" name="Table65" displayName="Table65" ref="A68:I97" headerRowCount="0" totalsRowShown="0" headerRowDxfId="593" headerRowCellStyle="Normal 4">
  <tableColumns count="9">
    <tableColumn id="1" name="Column1" headerRowDxfId="592" headerRowCellStyle="Normal 4"/>
    <tableColumn id="2" name="Column2" headerRowDxfId="591" dataDxfId="590" headerRowCellStyle="Normal 4" dataCellStyle="Normal 4"/>
    <tableColumn id="3" name="Column3" headerRowDxfId="589" dataDxfId="588" headerRowCellStyle="Normal 4" dataCellStyle="Normal 4"/>
    <tableColumn id="4" name="Column4" headerRowDxfId="587" dataDxfId="586" headerRowCellStyle="Normal 4" dataCellStyle="Normal 4"/>
    <tableColumn id="5" name="Column5" headerRowDxfId="585" dataDxfId="584" headerRowCellStyle="Normal 4" dataCellStyle="Normal 4"/>
    <tableColumn id="6" name="Column6" headerRowDxfId="583" headerRowCellStyle="Normal 4"/>
    <tableColumn id="7" name="Column7" headerRowDxfId="582" headerRowCellStyle="Normal 4"/>
    <tableColumn id="8" name="Column8" headerRowDxfId="581" headerRowCellStyle="Normal 4"/>
    <tableColumn id="9" name="Column9" headerRowDxfId="580" headerRowCellStyle="Normal 4"/>
  </tableColumns>
  <tableStyleInfo name="TableStyleLight16" showFirstColumn="0" showLastColumn="0" showRowStripes="1" showColumnStripes="0"/>
</table>
</file>

<file path=xl/tables/table13.xml><?xml version="1.0" encoding="utf-8"?>
<table xmlns="http://schemas.openxmlformats.org/spreadsheetml/2006/main" id="67" name="Table67" displayName="Table67" ref="A29:I66" headerRowCount="0" totalsRowCount="1" headerRowDxfId="579" dataDxfId="578" headerRowCellStyle="Normal 4" dataCellStyle="Comma">
  <tableColumns count="9">
    <tableColumn id="1" name="Column1" headerRowDxfId="577" totalsRowDxfId="576" headerRowCellStyle="Normal 4"/>
    <tableColumn id="2" name="Column2" headerRowDxfId="575" dataDxfId="574" totalsRowDxfId="573" headerRowCellStyle="Normal 4" dataCellStyle="Normal 4"/>
    <tableColumn id="3" name="Column3" headerRowDxfId="572" dataDxfId="571" totalsRowDxfId="570" headerRowCellStyle="Normal 4" dataCellStyle="Normal 4"/>
    <tableColumn id="4" name="Column4" headerRowDxfId="569" dataDxfId="568" totalsRowDxfId="567" headerRowCellStyle="Normal 4" dataCellStyle="Normal 4"/>
    <tableColumn id="5" name="Column5" headerRowDxfId="566" dataDxfId="565" totalsRowDxfId="564" headerRowCellStyle="Normal 4" dataCellStyle="Normal 4"/>
    <tableColumn id="6" name="Column6" totalsRowFunction="custom" headerRowDxfId="563" dataDxfId="562" totalsRowDxfId="561" headerRowCellStyle="Normal 4" dataCellStyle="Comma">
      <totalsRowFormula>+F65-'7.Dupont'!H34</totalsRowFormula>
    </tableColumn>
    <tableColumn id="7" name="Column7" totalsRowFunction="custom" headerRowDxfId="560" dataDxfId="559" totalsRowDxfId="558" headerRowCellStyle="Normal 4" dataCellStyle="Comma">
      <totalsRowFormula>+G65-'7.Dupont'!H35</totalsRowFormula>
    </tableColumn>
    <tableColumn id="8" name="Column8" totalsRowFunction="custom" headerRowDxfId="557" dataDxfId="556" totalsRowDxfId="555" headerRowCellStyle="Normal 4" dataCellStyle="Comma">
      <totalsRowFormula>+H65-'7.Dupont'!H36</totalsRowFormula>
    </tableColumn>
    <tableColumn id="9" name="Column9" totalsRowFunction="custom" headerRowDxfId="554" totalsRowDxfId="553" headerRowCellStyle="Normal 4">
      <totalsRowFormula>+I65-'7.Dupont'!H37</totalsRowFormula>
    </tableColumn>
  </tableColumns>
  <tableStyleInfo name="TableStyleLight16" showFirstColumn="0" showLastColumn="0" showRowStripes="1" showColumnStripes="0"/>
</table>
</file>

<file path=xl/tables/table14.xml><?xml version="1.0" encoding="utf-8"?>
<table xmlns="http://schemas.openxmlformats.org/spreadsheetml/2006/main" id="68" name="Table68" displayName="Table68" ref="A5:I25" headerRowCount="0" totalsRowShown="0" headerRowDxfId="552" headerRowCellStyle="Normal 4">
  <tableColumns count="9">
    <tableColumn id="1" name="Column1" headerRowDxfId="551" headerRowCellStyle="Normal 4"/>
    <tableColumn id="2" name="Column2" headerRowDxfId="550" headerRowCellStyle="Normal 4"/>
    <tableColumn id="3" name="Column3" headerRowDxfId="549" headerRowCellStyle="Normal 4"/>
    <tableColumn id="4" name="Column4" headerRowDxfId="548" headerRowCellStyle="Normal 4"/>
    <tableColumn id="5" name="Column5" headerRowDxfId="547" headerRowCellStyle="Normal 4"/>
    <tableColumn id="6" name="Column6" headerRowDxfId="546" dataDxfId="545" headerRowCellStyle="Normal 4" dataCellStyle="Comma"/>
    <tableColumn id="7" name="Column7" headerRowDxfId="544" dataDxfId="543" headerRowCellStyle="Normal 4" dataCellStyle="Comma"/>
    <tableColumn id="8" name="Column8" headerRowDxfId="542" headerRowCellStyle="Normal 4"/>
    <tableColumn id="9" name="Column9" headerRowDxfId="541" headerRowCellStyle="Normal 4"/>
  </tableColumns>
  <tableStyleInfo name="TableStyleLight16" showFirstColumn="0" showLastColumn="0" showRowStripes="1" showColumnStripes="0"/>
</table>
</file>

<file path=xl/tables/table15.xml><?xml version="1.0" encoding="utf-8"?>
<table xmlns="http://schemas.openxmlformats.org/spreadsheetml/2006/main" id="21" name="Table21" displayName="Table21" ref="B66:F101" headerRowCount="0" totalsRowShown="0" headerRowDxfId="540" dataDxfId="539" headerRowCellStyle="Normal 2" dataCellStyle="Comma">
  <tableColumns count="5">
    <tableColumn id="1" name="Column1" headerRowDxfId="538" dataDxfId="537" headerRowCellStyle="Normal 2" dataCellStyle="Comma"/>
    <tableColumn id="2" name="Column2" headerRowDxfId="536" dataDxfId="535" headerRowCellStyle="Normal 2" dataCellStyle="Comma"/>
    <tableColumn id="3" name="Column3" headerRowDxfId="534" dataDxfId="533" headerRowCellStyle="Normal 2" dataCellStyle="Comma"/>
    <tableColumn id="4" name="Column4" headerRowDxfId="532" dataDxfId="531" headerRowCellStyle="Percent 2 2"/>
    <tableColumn id="5" name="Column5" headerRowDxfId="530" dataDxfId="529" headerRowCellStyle="Normal 2"/>
  </tableColumns>
  <tableStyleInfo name="TableStyleMedium2" showFirstColumn="0" showLastColumn="0" showRowStripes="1" showColumnStripes="0"/>
</table>
</file>

<file path=xl/tables/table16.xml><?xml version="1.0" encoding="utf-8"?>
<table xmlns="http://schemas.openxmlformats.org/spreadsheetml/2006/main" id="13" name="Table1214" displayName="Table1214" ref="L70:P74" headerRowCount="0" totalsRowShown="0" headerRowDxfId="528" dataDxfId="527" tableBorderDxfId="526" dataCellStyle="Percent">
  <tableColumns count="5">
    <tableColumn id="1" name="Column1" headerRowDxfId="525" dataDxfId="524"/>
    <tableColumn id="2" name="Column2" headerRowDxfId="523" dataDxfId="522" dataCellStyle="Percent">
      <calculatedColumnFormula>+Q53</calculatedColumnFormula>
    </tableColumn>
    <tableColumn id="3" name="Column3" headerRowDxfId="521" dataDxfId="520" dataCellStyle="Percent">
      <calculatedColumnFormula>IF(M70&gt;O70,"&gt;","&lt;")</calculatedColumnFormula>
    </tableColumn>
    <tableColumn id="4" name="Column4" headerRowDxfId="519" dataDxfId="518" dataCellStyle="Percent">
      <calculatedColumnFormula>+T53</calculatedColumnFormula>
    </tableColumn>
    <tableColumn id="5" name="Column5" headerRowDxfId="517" dataDxfId="516" dataCellStyle="Normal 2">
      <calculatedColumnFormula>IF(T55&gt;W55,"Deuda","Acciones")</calculatedColumnFormula>
    </tableColumn>
  </tableColumns>
  <tableStyleInfo name="TableStyleLight16" showFirstColumn="0" showLastColumn="0" showRowStripes="1" showColumnStripes="0"/>
</table>
</file>

<file path=xl/tables/table17.xml><?xml version="1.0" encoding="utf-8"?>
<table xmlns="http://schemas.openxmlformats.org/spreadsheetml/2006/main" id="20" name="Table20" displayName="Table20" ref="C11:F20" headerRowCount="0" totalsRowShown="0" headerRowDxfId="515" dataDxfId="514" headerRowCellStyle="Normal 2">
  <tableColumns count="4">
    <tableColumn id="1" name="(en colones)" headerRowDxfId="513" dataDxfId="512" headerRowCellStyle="Normal 2" dataCellStyle="Normal 2"/>
    <tableColumn id="2" name="Column1" headerRowDxfId="511" dataDxfId="510" headerRowCellStyle="Normal 2" dataCellStyle="Comma"/>
    <tableColumn id="3" name="Column2" headerRowDxfId="509" dataDxfId="508" headerRowCellStyle="Normal 2" dataCellStyle="Percent 2 2">
      <calculatedColumnFormula>+D11/$D$20</calculatedColumnFormula>
    </tableColumn>
    <tableColumn id="4" name="Column3" headerRowDxfId="507" dataDxfId="506" headerRowCellStyle="Normal 2" dataCellStyle="Percent 2 2"/>
  </tableColumns>
  <tableStyleInfo name="TableStyleMedium2" showFirstColumn="0" showLastColumn="0" showRowStripes="1" showColumnStripes="0"/>
</table>
</file>

<file path=xl/tables/table18.xml><?xml version="1.0" encoding="utf-8"?>
<table xmlns="http://schemas.openxmlformats.org/spreadsheetml/2006/main" id="22" name="Table22" displayName="Table22" ref="G11:J20" headerRowCount="0" totalsRowShown="0" headerRowDxfId="505" dataDxfId="504">
  <tableColumns count="4">
    <tableColumn id="1" name="Column1" headerRowDxfId="503" dataDxfId="502" headerRowCellStyle="Normal 2" dataCellStyle="Normal 2">
      <calculatedColumnFormula>+C11</calculatedColumnFormula>
    </tableColumn>
    <tableColumn id="2" name="Column2" headerRowDxfId="501" dataDxfId="500" headerRowCellStyle="Normal 2" dataCellStyle="Comma"/>
    <tableColumn id="3" name="Column3" headerRowDxfId="499" dataDxfId="498" headerRowCellStyle="Comma 2 2" dataCellStyle="Percent 2 2">
      <calculatedColumnFormula>+H11/$H$20</calculatedColumnFormula>
    </tableColumn>
    <tableColumn id="4" name="Column4" headerRowDxfId="497" dataDxfId="496" headerRowCellStyle="Percent 2 2" dataCellStyle="Percent 2 2"/>
  </tableColumns>
  <tableStyleInfo name="TableStyleMedium2" showFirstColumn="0" showLastColumn="1" showRowStripes="1" showColumnStripes="0"/>
</table>
</file>

<file path=xl/tables/table19.xml><?xml version="1.0" encoding="utf-8"?>
<table xmlns="http://schemas.openxmlformats.org/spreadsheetml/2006/main" id="23" name="Table23" displayName="Table23" ref="K11:N20" headerRowCount="0" totalsRowShown="0" headerRowDxfId="495" dataDxfId="494" headerRowCellStyle="Normal 2">
  <tableColumns count="4">
    <tableColumn id="1" name="Column1" headerRowDxfId="493" dataDxfId="492" headerRowCellStyle="Percent 2 2" dataCellStyle="Normal 2">
      <calculatedColumnFormula>+G11</calculatedColumnFormula>
    </tableColumn>
    <tableColumn id="2" name="Column2" headerRowDxfId="491" dataDxfId="490" headerRowCellStyle="Normal 2" dataCellStyle="Comma"/>
    <tableColumn id="3" name="Column3" headerRowDxfId="489" dataDxfId="488" headerRowCellStyle="Comma 2 2" dataCellStyle="Percent 2 2">
      <calculatedColumnFormula>+L11/$L$20</calculatedColumnFormula>
    </tableColumn>
    <tableColumn id="4" name="Column4" headerRowDxfId="487" dataDxfId="486" headerRowCellStyle="Percent 2 2" dataCellStyle="Percent 2 2"/>
  </tableColumns>
  <tableStyleInfo name="TableStyleMedium2" showFirstColumn="0" showLastColumn="1" showRowStripes="1" showColumnStripes="0"/>
</table>
</file>

<file path=xl/tables/table2.xml><?xml version="1.0" encoding="utf-8"?>
<table xmlns="http://schemas.openxmlformats.org/spreadsheetml/2006/main" id="14" name="Table1315" displayName="Table1315" ref="A51:B51" headerRowCount="0" totalsRowShown="0" headerRowDxfId="725" dataDxfId="724">
  <tableColumns count="2">
    <tableColumn id="1" name="Column1" headerRowDxfId="723" dataDxfId="722"/>
    <tableColumn id="2" name="Column2" headerRowDxfId="721" dataDxfId="720"/>
  </tableColumns>
  <tableStyleInfo name="TableStyleLight18" showFirstColumn="0" showLastColumn="1" showRowStripes="1" showColumnStripes="0"/>
</table>
</file>

<file path=xl/tables/table20.xml><?xml version="1.0" encoding="utf-8"?>
<table xmlns="http://schemas.openxmlformats.org/spreadsheetml/2006/main" id="24" name="Table24" displayName="Table24" ref="O11:T20" headerRowCount="0" totalsRowShown="0" headerRowDxfId="485" dataDxfId="484" headerRowCellStyle="Normal 2">
  <tableColumns count="6">
    <tableColumn id="1" name="Column1" headerRowDxfId="483" dataDxfId="482" headerRowCellStyle="Percent 2 2" dataCellStyle="Normal 2">
      <calculatedColumnFormula>+K11</calculatedColumnFormula>
    </tableColumn>
    <tableColumn id="2" name="Column2" headerRowDxfId="481" dataDxfId="480" headerRowCellStyle="Normal 2" dataCellStyle="Comma"/>
    <tableColumn id="3" name="Column3" headerRowDxfId="479" dataDxfId="478" headerRowCellStyle="Comma 2 2" dataCellStyle="Percent 2 2">
      <calculatedColumnFormula>+P11/$P$20</calculatedColumnFormula>
    </tableColumn>
    <tableColumn id="4" name="Column4" headerRowDxfId="477" dataDxfId="476" headerRowCellStyle="Percent 2 2" dataCellStyle="Percent 2 2"/>
    <tableColumn id="5" name="Column5" headerRowDxfId="475" dataDxfId="474" headerRowCellStyle="Normal 2"/>
    <tableColumn id="6" name="Column6" headerRowDxfId="473" dataDxfId="472" headerRowCellStyle="Normal 2"/>
  </tableColumns>
  <tableStyleInfo name="TableStyleLight2" showFirstColumn="0" showLastColumn="1" showRowStripes="1" showColumnStripes="0"/>
</table>
</file>

<file path=xl/tables/table21.xml><?xml version="1.0" encoding="utf-8"?>
<table xmlns="http://schemas.openxmlformats.org/spreadsheetml/2006/main" id="25" name="Table25" displayName="Table25" ref="C22:F27" headerRowCount="0" totalsRowShown="0" headerRowDxfId="471" dataDxfId="470" headerRowCellStyle="Normal 2">
  <tableColumns count="4">
    <tableColumn id="1" name="Column1" headerRowDxfId="469" dataDxfId="468" headerRowCellStyle="Normal 2" dataCellStyle="Normal 2"/>
    <tableColumn id="2" name="Column2" headerRowDxfId="467" dataDxfId="466" headerRowCellStyle="Normal 2" dataCellStyle="Normal 2"/>
    <tableColumn id="3" name="Column3" headerRowDxfId="465" dataDxfId="464" headerRowCellStyle="Normal 2" dataCellStyle="Percent"/>
    <tableColumn id="4" name="Column4" headerRowDxfId="463" dataDxfId="462" headerRowCellStyle="Percent 2 2" dataCellStyle="Percent 2 2"/>
  </tableColumns>
  <tableStyleInfo name="TableStyleMedium2" showFirstColumn="0" showLastColumn="1" showRowStripes="1" showColumnStripes="0"/>
</table>
</file>

<file path=xl/tables/table22.xml><?xml version="1.0" encoding="utf-8"?>
<table xmlns="http://schemas.openxmlformats.org/spreadsheetml/2006/main" id="26" name="Table26" displayName="Table26" ref="G22:J27" headerRowCount="0" totalsRowShown="0" headerRowDxfId="461" dataDxfId="460" headerRowCellStyle="Normal 2">
  <tableColumns count="4">
    <tableColumn id="1" name="Column1" headerRowDxfId="459" dataDxfId="458" headerRowCellStyle="Normal 2" dataCellStyle="Normal 2"/>
    <tableColumn id="2" name="Column2" headerRowDxfId="457" dataDxfId="456" headerRowCellStyle="Normal 2" dataCellStyle="Comma"/>
    <tableColumn id="3" name="Column3" headerRowDxfId="455" dataDxfId="454" headerRowCellStyle="Normal 2" dataCellStyle="Percent 2 2"/>
    <tableColumn id="4" name="Column4" headerRowDxfId="453" dataDxfId="452" headerRowCellStyle="Percent 2 2" dataCellStyle="Percent 2 2"/>
  </tableColumns>
  <tableStyleInfo name="TableStyleMedium2" showFirstColumn="0" showLastColumn="1" showRowStripes="1" showColumnStripes="0"/>
</table>
</file>

<file path=xl/tables/table23.xml><?xml version="1.0" encoding="utf-8"?>
<table xmlns="http://schemas.openxmlformats.org/spreadsheetml/2006/main" id="28" name="Table28" displayName="Table28" ref="K22:N27" headerRowCount="0" totalsRowShown="0" headerRowDxfId="451" dataDxfId="450" headerRowCellStyle="Normal 2">
  <tableColumns count="4">
    <tableColumn id="1" name="Column1" headerRowDxfId="449" dataDxfId="448" headerRowCellStyle="Normal 2" dataCellStyle="Normal 2"/>
    <tableColumn id="2" name="Column2" headerRowDxfId="447" dataDxfId="446" headerRowCellStyle="Normal 2" dataCellStyle="Comma"/>
    <tableColumn id="3" name="Column3" headerRowDxfId="445" dataDxfId="444" headerRowCellStyle="Normal 2" dataCellStyle="Percent 2 2"/>
    <tableColumn id="4" name="Column4" headerRowDxfId="443" dataDxfId="442" headerRowCellStyle="Percent 2 2" dataCellStyle="Percent 2 2"/>
  </tableColumns>
  <tableStyleInfo name="TableStyleMedium2" showFirstColumn="0" showLastColumn="1" showRowStripes="1" showColumnStripes="0"/>
</table>
</file>

<file path=xl/tables/table24.xml><?xml version="1.0" encoding="utf-8"?>
<table xmlns="http://schemas.openxmlformats.org/spreadsheetml/2006/main" id="29" name="Table29" displayName="Table29" ref="O22:R27" headerRowCount="0" totalsRowShown="0" headerRowDxfId="441" dataDxfId="440" headerRowCellStyle="Normal 2">
  <tableColumns count="4">
    <tableColumn id="1" name="Column1" headerRowDxfId="439" dataDxfId="438" headerRowCellStyle="Normal 2" dataCellStyle="Normal 2"/>
    <tableColumn id="2" name="Column2" headerRowDxfId="437" dataDxfId="436" headerRowCellStyle="Normal 2" dataCellStyle="Comma"/>
    <tableColumn id="3" name="Column3" headerRowDxfId="435" dataDxfId="434" headerRowCellStyle="Normal 2" dataCellStyle="Percent 2 2"/>
    <tableColumn id="4" name="Column4" headerRowDxfId="433" dataDxfId="432" headerRowCellStyle="Percent 2 2" dataCellStyle="Percent 2 2"/>
  </tableColumns>
  <tableStyleInfo name="TableStyleLight2" showFirstColumn="0" showLastColumn="1" showRowStripes="1" showColumnStripes="0"/>
</table>
</file>

<file path=xl/tables/table25.xml><?xml version="1.0" encoding="utf-8"?>
<table xmlns="http://schemas.openxmlformats.org/spreadsheetml/2006/main" id="59" name="Table59" displayName="Table59" ref="C70:G76" headerRowCount="0" totalsRowShown="0" headerRowDxfId="431" dataDxfId="430" headerRowCellStyle="Normal 2">
  <tableColumns count="5">
    <tableColumn id="1" name="Column1" headerRowDxfId="429" dataDxfId="428" headerRowCellStyle="Comma 2 2"/>
    <tableColumn id="2" name="Column2" headerRowDxfId="427" dataDxfId="426" headerRowCellStyle="Percent 2 2"/>
    <tableColumn id="3" name="Column3" headerRowDxfId="425" dataDxfId="424" headerRowCellStyle="Normal 2"/>
    <tableColumn id="4" name="Column4" headerRowDxfId="423" dataDxfId="422" headerRowCellStyle="Normal 2"/>
    <tableColumn id="5" name="Column5" headerRowDxfId="421" dataDxfId="420" headerRowCellStyle="Comma 2 2"/>
  </tableColumns>
  <tableStyleInfo name="TableStyleDark9" showFirstColumn="0" showLastColumn="0" showRowStripes="1" showColumnStripes="0"/>
</table>
</file>

<file path=xl/tables/table26.xml><?xml version="1.0" encoding="utf-8"?>
<table xmlns="http://schemas.openxmlformats.org/spreadsheetml/2006/main" id="55" name="Table4" displayName="Table4" ref="I36:N38" headerRowCount="0" totalsRowShown="0" headerRowDxfId="419" dataDxfId="418">
  <tableColumns count="6">
    <tableColumn id="1" name="Column1" headerRowDxfId="417" dataDxfId="416"/>
    <tableColumn id="2" name="Column2" headerRowDxfId="415" dataDxfId="414"/>
    <tableColumn id="3" name="Column3" headerRowDxfId="413" dataDxfId="412">
      <calculatedColumnFormula>+K11</calculatedColumnFormula>
    </tableColumn>
    <tableColumn id="4" name="Column4" headerRowDxfId="411" dataDxfId="410">
      <calculatedColumnFormula>+L11</calculatedColumnFormula>
    </tableColumn>
    <tableColumn id="5" name="Column5" headerRowDxfId="409" dataDxfId="408"/>
    <tableColumn id="6" name="Column6" headerRowDxfId="407" dataDxfId="406"/>
  </tableColumns>
  <tableStyleInfo name="TableStyleMedium9" showFirstColumn="0" showLastColumn="0" showRowStripes="1" showColumnStripes="0"/>
</table>
</file>

<file path=xl/tables/table27.xml><?xml version="1.0" encoding="utf-8"?>
<table xmlns="http://schemas.openxmlformats.org/spreadsheetml/2006/main" id="56" name="Table56" displayName="Table56" ref="A47:B48" headerRowCount="0" totalsRowShown="0" headerRowDxfId="405" dataDxfId="404">
  <tableColumns count="2">
    <tableColumn id="1" name="Column1" dataDxfId="403"/>
    <tableColumn id="2" name="Column2" dataDxfId="402" dataCellStyle="Comma"/>
  </tableColumns>
  <tableStyleInfo name="TableStyleLight16" showFirstColumn="0" showLastColumn="0" showRowStripes="1" showColumnStripes="0"/>
</table>
</file>

<file path=xl/tables/table28.xml><?xml version="1.0" encoding="utf-8"?>
<table xmlns="http://schemas.openxmlformats.org/spreadsheetml/2006/main" id="1" name="Table35" displayName="Table35" ref="H55:O79" headerRowCount="0" totalsRowShown="0" headerRowDxfId="401">
  <tableColumns count="8">
    <tableColumn id="1" name="Column1" headerRowDxfId="400" dataDxfId="399" dataCellStyle="Comma"/>
    <tableColumn id="2" name="Column2" headerRowDxfId="398" dataDxfId="397" dataCellStyle="Comma 2"/>
    <tableColumn id="3" name="Column3" headerRowDxfId="396" dataDxfId="395" dataCellStyle="Percent 2"/>
    <tableColumn id="4" name="Column4" headerRowDxfId="394" dataDxfId="393" dataCellStyle="Normal 2 2"/>
    <tableColumn id="5" name="Column5" headerRowDxfId="392" dataDxfId="391" dataCellStyle="Normal 2 2"/>
    <tableColumn id="6" name="Column6" headerRowDxfId="390" dataDxfId="389" dataCellStyle="Percent 2"/>
    <tableColumn id="7" name="Column7" headerRowDxfId="388" dataDxfId="387" dataCellStyle="Comma 2"/>
    <tableColumn id="8" name="Column8" headerRowDxfId="386" dataDxfId="385" dataCellStyle="Comma"/>
  </tableColumns>
  <tableStyleInfo name="TableStyleLight2" showFirstColumn="0" showLastColumn="0" showRowStripes="1" showColumnStripes="0"/>
</table>
</file>

<file path=xl/tables/table29.xml><?xml version="1.0" encoding="utf-8"?>
<table xmlns="http://schemas.openxmlformats.org/spreadsheetml/2006/main" id="2" name="Table47" displayName="Table47" ref="I85:N87" headerRowCount="0" totalsRowShown="0" headerRowDxfId="384" dataDxfId="383">
  <tableColumns count="6">
    <tableColumn id="1" name="Column1" headerRowDxfId="382" dataDxfId="381"/>
    <tableColumn id="2" name="Column2" headerRowDxfId="380" dataDxfId="379"/>
    <tableColumn id="3" name="Column3" headerRowDxfId="378" dataDxfId="377">
      <calculatedColumnFormula>+K60</calculatedColumnFormula>
    </tableColumn>
    <tableColumn id="4" name="Column4" headerRowDxfId="376" dataDxfId="375">
      <calculatedColumnFormula>+L60</calculatedColumnFormula>
    </tableColumn>
    <tableColumn id="5" name="Column5" headerRowDxfId="374" dataDxfId="373"/>
    <tableColumn id="6" name="Column6" headerRowDxfId="372" dataDxfId="371"/>
  </tableColumns>
  <tableStyleInfo name="TableStyleMedium9" showFirstColumn="0" showLastColumn="0" showRowStripes="1" showColumnStripes="0"/>
</table>
</file>

<file path=xl/tables/table3.xml><?xml version="1.0" encoding="utf-8"?>
<table xmlns="http://schemas.openxmlformats.org/spreadsheetml/2006/main" id="7" name="ER" displayName="ER" ref="A7:E21" headerRowCount="0" totalsRowShown="0" headerRowDxfId="719" dataDxfId="718" dataCellStyle="Percent">
  <tableColumns count="5">
    <tableColumn id="1" name="Column1" headerRowDxfId="717" dataDxfId="716"/>
    <tableColumn id="2" name="Column2" headerRowDxfId="715" dataDxfId="714" dataCellStyle="Comma"/>
    <tableColumn id="4" name="Column4" headerRowDxfId="713" dataDxfId="712" dataCellStyle="Comma"/>
    <tableColumn id="6" name="Column6" headerRowDxfId="711" dataDxfId="710" dataCellStyle="Comma"/>
    <tableColumn id="8" name="Column8" headerRowDxfId="709" dataDxfId="708" headerRowCellStyle="Comma"/>
  </tableColumns>
  <tableStyleInfo name="TableStyleLight16" showFirstColumn="0" showLastColumn="0" showRowStripes="1" showColumnStripes="0"/>
</table>
</file>

<file path=xl/tables/table30.xml><?xml version="1.0" encoding="utf-8"?>
<table xmlns="http://schemas.openxmlformats.org/spreadsheetml/2006/main" id="3" name="Table564" displayName="Table564" ref="A95:B96" headerRowCount="0" totalsRowShown="0" headerRowDxfId="370" dataDxfId="369">
  <tableColumns count="2">
    <tableColumn id="1" name="Column1" dataDxfId="368"/>
    <tableColumn id="2" name="Column2" dataDxfId="367" dataCellStyle="Comma"/>
  </tableColumns>
  <tableStyleInfo name="TableStyleMedium9" showFirstColumn="0" showLastColumn="0" showRowStripes="1" showColumnStripes="0"/>
</table>
</file>

<file path=xl/tables/table31.xml><?xml version="1.0" encoding="utf-8"?>
<table xmlns="http://schemas.openxmlformats.org/spreadsheetml/2006/main" id="4" name="Table565" displayName="Table565" ref="A142:B143" headerRowCount="0" totalsRowShown="0" headerRowDxfId="366" dataDxfId="365">
  <tableColumns count="2">
    <tableColumn id="1" name="Column1" dataDxfId="364"/>
    <tableColumn id="2" name="Column2" dataDxfId="363" dataCellStyle="Comma"/>
  </tableColumns>
  <tableStyleInfo name="TableStyleMedium9" showFirstColumn="0" showLastColumn="0" showRowStripes="1" showColumnStripes="0"/>
</table>
</file>

<file path=xl/tables/table32.xml><?xml version="1.0" encoding="utf-8"?>
<table xmlns="http://schemas.openxmlformats.org/spreadsheetml/2006/main" id="6" name="Table48" displayName="Table48" ref="I131:N133" headerRowCount="0" totalsRowShown="0" headerRowDxfId="362" dataDxfId="361">
  <tableColumns count="6">
    <tableColumn id="1" name="Column1" headerRowDxfId="360" dataDxfId="359"/>
    <tableColumn id="2" name="Column2" headerRowDxfId="358" dataDxfId="357"/>
    <tableColumn id="3" name="Column3" headerRowDxfId="356" dataDxfId="355">
      <calculatedColumnFormula>+K106</calculatedColumnFormula>
    </tableColumn>
    <tableColumn id="4" name="Column4" headerRowDxfId="354" dataDxfId="353">
      <calculatedColumnFormula>+L106</calculatedColumnFormula>
    </tableColumn>
    <tableColumn id="5" name="Column5" headerRowDxfId="352" dataDxfId="351"/>
    <tableColumn id="6" name="Column6" headerRowDxfId="350" dataDxfId="349"/>
  </tableColumns>
  <tableStyleInfo name="TableStyleMedium9" showFirstColumn="0" showLastColumn="0" showRowStripes="1" showColumnStripes="0"/>
</table>
</file>

<file path=xl/tables/table33.xml><?xml version="1.0" encoding="utf-8"?>
<table xmlns="http://schemas.openxmlformats.org/spreadsheetml/2006/main" id="16" name="Table16" displayName="Table16" ref="H6:O31" headerRowCount="0" totalsRowShown="0" headerRowDxfId="348" tableBorderDxfId="347">
  <tableColumns count="8">
    <tableColumn id="1" name="Column1" headerRowDxfId="346" dataDxfId="345" dataCellStyle="Comma"/>
    <tableColumn id="2" name="Column2" headerRowDxfId="344" dataDxfId="343" dataCellStyle="Comma 2"/>
    <tableColumn id="3" name="Column3" headerRowDxfId="342" dataDxfId="341" dataCellStyle="Percent 2"/>
    <tableColumn id="4" name="Column4" headerRowDxfId="340" dataDxfId="339" dataCellStyle="Normal 2 2"/>
    <tableColumn id="5" name="Column5" headerRowDxfId="338" dataDxfId="337" dataCellStyle="Normal 2 2"/>
    <tableColumn id="6" name="Column6" headerRowDxfId="336" dataDxfId="335" dataCellStyle="Percent 2"/>
    <tableColumn id="7" name="Column7" headerRowDxfId="334" dataDxfId="333" dataCellStyle="Comma 2"/>
    <tableColumn id="8" name="Column8" headerRowDxfId="332" dataDxfId="331" dataCellStyle="Comma"/>
  </tableColumns>
  <tableStyleInfo name="TableStyleMedium2" showFirstColumn="0" showLastColumn="0" showRowStripes="1" showColumnStripes="0"/>
</table>
</file>

<file path=xl/tables/table34.xml><?xml version="1.0" encoding="utf-8"?>
<table xmlns="http://schemas.openxmlformats.org/spreadsheetml/2006/main" id="19" name="Table19" displayName="Table19" ref="H101:O126" headerRowCount="0" totalsRowShown="0" headerRowDxfId="330" tableBorderDxfId="329">
  <tableColumns count="8">
    <tableColumn id="1" name="Column1" headerRowDxfId="328"/>
    <tableColumn id="2" name="Column2" headerRowDxfId="327"/>
    <tableColumn id="3" name="Column3" headerRowDxfId="326" dataDxfId="325" dataCellStyle="Percent 2"/>
    <tableColumn id="4" name="Column4" headerRowDxfId="324" dataDxfId="323" dataCellStyle="Normal 2 2"/>
    <tableColumn id="5" name="Column5" headerRowDxfId="322" dataDxfId="321" dataCellStyle="Normal 2 2"/>
    <tableColumn id="6" name="Column6" headerRowDxfId="320" dataDxfId="319" dataCellStyle="Percent 2"/>
    <tableColumn id="7" name="Column7" headerRowDxfId="318"/>
    <tableColumn id="8" name="Column8" headerRowDxfId="317"/>
  </tableColumns>
  <tableStyleInfo name="TableStyleMedium2" showFirstColumn="0" showLastColumn="0" showRowStripes="1" showColumnStripes="0"/>
</table>
</file>

<file path=xl/tables/table35.xml><?xml version="1.0" encoding="utf-8"?>
<table xmlns="http://schemas.openxmlformats.org/spreadsheetml/2006/main" id="35" name="Table36" displayName="Table36" ref="A6:E45" headerRowCount="0" totalsRowShown="0" headerRowDxfId="316" tableBorderDxfId="315" headerRowCellStyle="Comma">
  <tableColumns count="5">
    <tableColumn id="1" name="Column1" headerRowDxfId="314"/>
    <tableColumn id="2" name="Column2" headerRowDxfId="313"/>
    <tableColumn id="3" name="Column3" headerRowDxfId="312"/>
    <tableColumn id="4" name="Column4" headerRowDxfId="311" headerRowCellStyle="Comma"/>
    <tableColumn id="5" name="Column5" headerRowDxfId="310" headerRowCellStyle="Comma"/>
  </tableColumns>
  <tableStyleInfo name="TableStyleMedium2" showFirstColumn="0" showLastColumn="0" showRowStripes="1" showColumnStripes="0"/>
</table>
</file>

<file path=xl/tables/table36.xml><?xml version="1.0" encoding="utf-8"?>
<table xmlns="http://schemas.openxmlformats.org/spreadsheetml/2006/main" id="53" name="Table53" displayName="Table53" ref="A54:E93" headerRowCount="0" totalsRowShown="0" headerRowDxfId="309" tableBorderDxfId="308">
  <tableColumns count="5">
    <tableColumn id="1" name="Column1" headerRowDxfId="307"/>
    <tableColumn id="2" name="Column2" headerRowDxfId="306"/>
    <tableColumn id="3" name="Column3" headerRowDxfId="305"/>
    <tableColumn id="4" name="Column4" headerRowDxfId="304"/>
    <tableColumn id="5" name="Column5" headerRowDxfId="303"/>
  </tableColumns>
  <tableStyleInfo name="TableStyleMedium2" showFirstColumn="0" showLastColumn="0" showRowStripes="1" showColumnStripes="0"/>
</table>
</file>

<file path=xl/tables/table37.xml><?xml version="1.0" encoding="utf-8"?>
<table xmlns="http://schemas.openxmlformats.org/spreadsheetml/2006/main" id="54" name="Table54" displayName="Table54" ref="A101:E140" headerRowCount="0" totalsRowShown="0" headerRowDxfId="302" tableBorderDxfId="301">
  <tableColumns count="5">
    <tableColumn id="1" name="Column1" headerRowDxfId="300"/>
    <tableColumn id="2" name="Column2" headerRowDxfId="299"/>
    <tableColumn id="3" name="Column3" headerRowDxfId="298"/>
    <tableColumn id="4" name="Column4" headerRowDxfId="297"/>
    <tableColumn id="5" name="Column5" headerRowDxfId="296"/>
  </tableColumns>
  <tableStyleInfo name="TableStyleMedium2" showFirstColumn="0" showLastColumn="0" showRowStripes="1" showColumnStripes="0"/>
</table>
</file>

<file path=xl/tables/table38.xml><?xml version="1.0" encoding="utf-8"?>
<table xmlns="http://schemas.openxmlformats.org/spreadsheetml/2006/main" id="32" name="Table32" displayName="Table32" ref="A63:H74" headerRowCount="0" totalsRowShown="0" headerRowDxfId="291" dataDxfId="290" headerRowCellStyle="Comma 3" dataCellStyle="Percent 4">
  <tableColumns count="8">
    <tableColumn id="1" name="Column1" headerRowDxfId="289" dataDxfId="288" headerRowCellStyle="Normal 2" dataCellStyle="Normal 2"/>
    <tableColumn id="2" name="Column2" headerRowDxfId="287" dataDxfId="286" headerRowCellStyle="Comma 3"/>
    <tableColumn id="3" name="Column3" headerRowDxfId="285" dataDxfId="284" headerRowCellStyle="Comma 3"/>
    <tableColumn id="4" name="Column4" headerRowDxfId="283" dataDxfId="282" headerRowCellStyle="Comma 3" dataCellStyle="Percent 4">
      <calculatedColumnFormula>+C63/B63-1</calculatedColumnFormula>
    </tableColumn>
    <tableColumn id="5" name="Column5" headerRowDxfId="281" dataDxfId="280" headerRowCellStyle="Comma 3"/>
    <tableColumn id="6" name="Column6" headerRowDxfId="279" dataDxfId="278" headerRowCellStyle="Comma 3" dataCellStyle="Percent 4">
      <calculatedColumnFormula>+E63/C63-1</calculatedColumnFormula>
    </tableColumn>
    <tableColumn id="7" name="Column7" headerRowDxfId="277" dataDxfId="276" headerRowCellStyle="Comma 3"/>
    <tableColumn id="8" name="Column8" headerRowDxfId="275" dataDxfId="274" headerRowCellStyle="Normal 2" dataCellStyle="Percent 4">
      <calculatedColumnFormula>+G63/E63-1</calculatedColumnFormula>
    </tableColumn>
  </tableColumns>
  <tableStyleInfo name="TableStyleLight16" showFirstColumn="0" showLastColumn="0" showRowStripes="1" showColumnStripes="0"/>
</table>
</file>

<file path=xl/tables/table39.xml><?xml version="1.0" encoding="utf-8"?>
<table xmlns="http://schemas.openxmlformats.org/spreadsheetml/2006/main" id="33" name="Table33" displayName="Table33" ref="A19:E59" headerRowCount="0" totalsRowShown="0" headerRowDxfId="273" dataDxfId="272" headerRowCellStyle="Comma 3" dataCellStyle="Comma 3">
  <tableColumns count="5">
    <tableColumn id="1" name="Column1" headerRowDxfId="271" dataDxfId="270" headerRowCellStyle="Normal 2"/>
    <tableColumn id="2" name="Column2" headerRowDxfId="269" dataDxfId="268" headerRowCellStyle="Comma 3" dataCellStyle="Comma 3"/>
    <tableColumn id="3" name="Column3" headerRowDxfId="267" dataDxfId="266" headerRowCellStyle="Comma 3" dataCellStyle="Comma 3"/>
    <tableColumn id="4" name="Column4" headerRowDxfId="265" dataDxfId="264" headerRowCellStyle="Comma 3" dataCellStyle="Comma 3"/>
    <tableColumn id="5" name="Column5" headerRowDxfId="263" dataDxfId="262" headerRowCellStyle="Comma 3" dataCellStyle="Comma 3"/>
  </tableColumns>
  <tableStyleInfo name="TableStyleMedium2" showFirstColumn="0" showLastColumn="0" showRowStripes="1" showColumnStripes="0"/>
</table>
</file>

<file path=xl/tables/table4.xml><?xml version="1.0" encoding="utf-8"?>
<table xmlns="http://schemas.openxmlformats.org/spreadsheetml/2006/main" id="8" name="Table8" displayName="Table8" ref="G7:K21" headerRowCount="0" totalsRowShown="0" headerRowDxfId="707" dataDxfId="706" dataCellStyle="Comma">
  <tableColumns count="5">
    <tableColumn id="1" name="Column1" headerRowDxfId="705" dataDxfId="704"/>
    <tableColumn id="2" name="Column2" headerRowDxfId="703" dataDxfId="702" dataCellStyle="Comma"/>
    <tableColumn id="4" name="Column4" headerRowDxfId="701" dataDxfId="700" dataCellStyle="Comma"/>
    <tableColumn id="6" name="Column6" headerRowDxfId="699" dataDxfId="698" dataCellStyle="Comma"/>
    <tableColumn id="8" name="Column8" headerRowDxfId="697" dataDxfId="696" headerRowCellStyle="Comma"/>
  </tableColumns>
  <tableStyleInfo name="TableStyleLight16" showFirstColumn="0" showLastColumn="0" showRowStripes="1" showColumnStripes="0"/>
</table>
</file>

<file path=xl/tables/table40.xml><?xml version="1.0" encoding="utf-8"?>
<table xmlns="http://schemas.openxmlformats.org/spreadsheetml/2006/main" id="34" name="Table34" displayName="Table34" ref="A5:H17" headerRowCount="0" totalsRowShown="0" headerRowDxfId="261" dataDxfId="260" headerRowCellStyle="Normal 2" dataCellStyle="Percent 4">
  <tableColumns count="8">
    <tableColumn id="1" name="Column1" headerRowDxfId="259" dataDxfId="258" headerRowCellStyle="Normal 2" dataCellStyle="Normal 2"/>
    <tableColumn id="2" name="Column2" headerRowDxfId="257" dataDxfId="256" headerRowCellStyle="Normal 2"/>
    <tableColumn id="3" name="Column3" headerRowDxfId="255" dataDxfId="254" headerRowCellStyle="Normal 2" dataCellStyle="Comma 3"/>
    <tableColumn id="4" name="Column4" headerRowDxfId="253" dataDxfId="252" headerRowCellStyle="Normal 2" dataCellStyle="Percent 4">
      <calculatedColumnFormula>+C5/B5-1</calculatedColumnFormula>
    </tableColumn>
    <tableColumn id="5" name="Column5" headerRowDxfId="251" dataDxfId="250" headerRowCellStyle="Normal 2" dataCellStyle="Comma 3"/>
    <tableColumn id="6" name="Column6" headerRowDxfId="249" dataDxfId="248" headerRowCellStyle="Normal 2" dataCellStyle="Percent 4">
      <calculatedColumnFormula>+E5/C5-1</calculatedColumnFormula>
    </tableColumn>
    <tableColumn id="7" name="Column7" headerRowDxfId="247" dataDxfId="246" headerRowCellStyle="Normal 2"/>
    <tableColumn id="8" name="Column8" headerRowDxfId="245" dataDxfId="244" headerRowCellStyle="Percent 4" dataCellStyle="Percent 4">
      <calculatedColumnFormula>+G5/E5-1</calculatedColumnFormula>
    </tableColumn>
  </tableColumns>
  <tableStyleInfo name="TableStyleLight16" showFirstColumn="0" showLastColumn="0" showRowStripes="1" showColumnStripes="0"/>
</table>
</file>

<file path=xl/tables/table41.xml><?xml version="1.0" encoding="utf-8"?>
<table xmlns="http://schemas.openxmlformats.org/spreadsheetml/2006/main" id="41" name="Table41" displayName="Table41" ref="J52:N55" headerRowCount="0" totalsRowShown="0" headerRowDxfId="243" dataDxfId="242" headerRowCellStyle="Normal 2">
  <tableColumns count="5">
    <tableColumn id="1" name="Column1" headerRowDxfId="241" dataDxfId="240" headerRowCellStyle="Normal 2"/>
    <tableColumn id="2" name="Column2" headerRowDxfId="239" dataDxfId="238" headerRowCellStyle="Normal 2" dataCellStyle="Comma"/>
    <tableColumn id="3" name="Column3" headerRowDxfId="237" dataDxfId="236" headerRowCellStyle="Normal 2" dataCellStyle="Normal 2"/>
    <tableColumn id="4" name="Column4" headerRowDxfId="235" dataDxfId="234" headerRowCellStyle="Normal 2" dataCellStyle="Normal 2"/>
    <tableColumn id="5" name="Column5" headerRowDxfId="233" dataDxfId="232" headerRowCellStyle="Normal 2" dataCellStyle="Normal 2"/>
  </tableColumns>
  <tableStyleInfo name="TableStyleLight16" showFirstColumn="0" showLastColumn="0" showRowStripes="1" showColumnStripes="0"/>
</table>
</file>

<file path=xl/tables/table42.xml><?xml version="1.0" encoding="utf-8"?>
<table xmlns="http://schemas.openxmlformats.org/spreadsheetml/2006/main" id="42" name="Table42" displayName="Table42" ref="J42:N45" headerRowCount="0" totalsRowShown="0" headerRowDxfId="231" dataDxfId="230" headerRowCellStyle="Normal 2">
  <tableColumns count="5">
    <tableColumn id="1" name="Column1" headerRowDxfId="229" dataDxfId="228" headerRowCellStyle="Normal 2"/>
    <tableColumn id="2" name="Column2" headerRowDxfId="227" dataDxfId="226" headerRowCellStyle="Normal 2" dataCellStyle="Comma"/>
    <tableColumn id="3" name="Column3" headerRowDxfId="225" dataDxfId="224" headerRowCellStyle="Normal 2" dataCellStyle="Normal 2"/>
    <tableColumn id="4" name="Column4" headerRowDxfId="223" dataDxfId="222" headerRowCellStyle="Normal 2" dataCellStyle="Normal 2"/>
    <tableColumn id="5" name="Column5" headerRowDxfId="221" dataDxfId="220" headerRowCellStyle="Normal 2" dataCellStyle="Normal 2"/>
  </tableColumns>
  <tableStyleInfo name="TableStyleLight16" showFirstColumn="0" showLastColumn="0" showRowStripes="1" showColumnStripes="0"/>
</table>
</file>

<file path=xl/tables/table43.xml><?xml version="1.0" encoding="utf-8"?>
<table xmlns="http://schemas.openxmlformats.org/spreadsheetml/2006/main" id="43" name="Table43" displayName="Table43" ref="J32:N35" headerRowCount="0" totalsRowShown="0" headerRowDxfId="219" dataDxfId="218" headerRowCellStyle="Normal 2">
  <tableColumns count="5">
    <tableColumn id="1" name="Column1" headerRowDxfId="217" dataDxfId="216" headerRowCellStyle="Normal 2"/>
    <tableColumn id="2" name="Column2" headerRowDxfId="215" dataDxfId="214" headerRowCellStyle="Normal 2" dataCellStyle="Comma"/>
    <tableColumn id="3" name="Column3" headerRowDxfId="213" dataDxfId="212" headerRowCellStyle="Normal 2" dataCellStyle="Normal 2"/>
    <tableColumn id="4" name="Column4" headerRowDxfId="211" dataDxfId="210" headerRowCellStyle="Normal 2" dataCellStyle="Normal 2"/>
    <tableColumn id="5" name="Column5" headerRowDxfId="209" dataDxfId="208" headerRowCellStyle="Normal 2" dataCellStyle="Normal 2"/>
  </tableColumns>
  <tableStyleInfo name="TableStyleLight16" showFirstColumn="0" showLastColumn="0" showRowStripes="1" showColumnStripes="0"/>
</table>
</file>

<file path=xl/tables/table44.xml><?xml version="1.0" encoding="utf-8"?>
<table xmlns="http://schemas.openxmlformats.org/spreadsheetml/2006/main" id="44" name="Table44" displayName="Table44" ref="J22:N25" headerRowCount="0" totalsRowShown="0" headerRowDxfId="207" dataDxfId="206" headerRowCellStyle="Normal 2">
  <tableColumns count="5">
    <tableColumn id="1" name="Column1" headerRowDxfId="205" dataDxfId="204" headerRowCellStyle="Normal 2"/>
    <tableColumn id="2" name="Column2" headerRowDxfId="203" dataDxfId="202" headerRowCellStyle="Normal 2" dataCellStyle="Comma"/>
    <tableColumn id="3" name="Column3" headerRowDxfId="201" dataDxfId="200" headerRowCellStyle="Normal 2" dataCellStyle="Normal 2"/>
    <tableColumn id="4" name="Column4" headerRowDxfId="199" dataDxfId="198" headerRowCellStyle="Normal 2" dataCellStyle="Normal 2"/>
    <tableColumn id="5" name="Column5" headerRowDxfId="197" dataDxfId="196" headerRowCellStyle="Normal 2" dataCellStyle="Normal 2"/>
  </tableColumns>
  <tableStyleInfo name="TableStyleLight16" showFirstColumn="0" showLastColumn="0" showRowStripes="1" showColumnStripes="0"/>
</table>
</file>

<file path=xl/tables/table45.xml><?xml version="1.0" encoding="utf-8"?>
<table xmlns="http://schemas.openxmlformats.org/spreadsheetml/2006/main" id="45" name="Table45" displayName="Table45" ref="P53:S59" headerRowCount="0" totalsRowShown="0" headerRowDxfId="195" dataDxfId="194" headerRowCellStyle="Normal 2">
  <tableColumns count="4">
    <tableColumn id="1" name="Column1" headerRowDxfId="193" dataDxfId="192" headerRowCellStyle="Normal 2" dataCellStyle="Comma 3"/>
    <tableColumn id="2" name="Column2" headerRowDxfId="191" dataDxfId="190" headerRowCellStyle="Normal 2" dataCellStyle="Comma"/>
    <tableColumn id="3" name="Column3" headerRowDxfId="189" dataDxfId="188" headerRowCellStyle="Normal 2" dataCellStyle="Normal 2"/>
    <tableColumn id="4" name="Column4" headerRowDxfId="187" dataDxfId="186" headerRowCellStyle="Normal 2" dataCellStyle="Normal 2"/>
  </tableColumns>
  <tableStyleInfo name="TableStyleLight16" showFirstColumn="0" showLastColumn="0" showRowStripes="1" showColumnStripes="0"/>
</table>
</file>

<file path=xl/tables/table46.xml><?xml version="1.0" encoding="utf-8"?>
<table xmlns="http://schemas.openxmlformats.org/spreadsheetml/2006/main" id="46" name="Table46" displayName="Table46" ref="J27:N29" headerRowCount="0" totalsRowShown="0" headerRowDxfId="185" dataDxfId="184" headerRowCellStyle="Normal 2" dataCellStyle="Normal 2">
  <tableColumns count="5">
    <tableColumn id="1" name="Column1" headerRowDxfId="183" dataDxfId="182" headerRowCellStyle="Normal 2" dataCellStyle="Normal 2"/>
    <tableColumn id="2" name="Column2" headerRowDxfId="181" dataDxfId="180" headerRowCellStyle="Normal 2" dataCellStyle="Normal 2"/>
    <tableColumn id="3" name="Column3" headerRowDxfId="179" dataDxfId="178" headerRowCellStyle="Normal 2" dataCellStyle="Normal 2"/>
    <tableColumn id="4" name="Column4" headerRowDxfId="177" dataDxfId="176" headerRowCellStyle="Normal 2" dataCellStyle="Normal 2"/>
    <tableColumn id="5" name="Column5" headerRowDxfId="175" dataDxfId="174" headerRowCellStyle="Normal 2" dataCellStyle="Normal 2"/>
  </tableColumns>
  <tableStyleInfo name="TableStyleMedium9" showFirstColumn="0" showLastColumn="0" showRowStripes="1" showColumnStripes="0"/>
</table>
</file>

<file path=xl/tables/table47.xml><?xml version="1.0" encoding="utf-8"?>
<table xmlns="http://schemas.openxmlformats.org/spreadsheetml/2006/main" id="47" name="Table4648" displayName="Table4648" ref="J37:N39" headerRowCount="0" totalsRowShown="0" headerRowDxfId="173" dataDxfId="172" headerRowCellStyle="Normal 2" dataCellStyle="Normal 2">
  <tableColumns count="5">
    <tableColumn id="1" name="Column1" headerRowDxfId="171" dataDxfId="170" headerRowCellStyle="Normal 2" dataCellStyle="Normal 2"/>
    <tableColumn id="2" name="Column2" headerRowDxfId="169" dataDxfId="168" headerRowCellStyle="Normal 2" dataCellStyle="Normal 2"/>
    <tableColumn id="3" name="Column3" headerRowDxfId="167" dataDxfId="166" headerRowCellStyle="Normal 2" dataCellStyle="Normal 2"/>
    <tableColumn id="4" name="Column4" headerRowDxfId="165" dataDxfId="164" headerRowCellStyle="Normal 2" dataCellStyle="Normal 2"/>
    <tableColumn id="5" name="Column5" headerRowDxfId="163" dataDxfId="162" headerRowCellStyle="Normal 2" dataCellStyle="Normal 2"/>
  </tableColumns>
  <tableStyleInfo name="TableStyleMedium9" showFirstColumn="0" showLastColumn="0" showRowStripes="1" showColumnStripes="0"/>
</table>
</file>

<file path=xl/tables/table48.xml><?xml version="1.0" encoding="utf-8"?>
<table xmlns="http://schemas.openxmlformats.org/spreadsheetml/2006/main" id="48" name="Table4649" displayName="Table4649" ref="J47:N49" headerRowCount="0" totalsRowShown="0" headerRowDxfId="161" dataDxfId="160" headerRowCellStyle="Normal 2" dataCellStyle="Normal 2">
  <tableColumns count="5">
    <tableColumn id="1" name="Column1" headerRowDxfId="159" dataDxfId="158" headerRowCellStyle="Normal 2" dataCellStyle="Normal 2"/>
    <tableColumn id="2" name="Column2" headerRowDxfId="157" dataDxfId="156" headerRowCellStyle="Normal 2" dataCellStyle="Normal 2"/>
    <tableColumn id="3" name="Column3" headerRowDxfId="155" dataDxfId="154" headerRowCellStyle="Normal 2" dataCellStyle="Normal 2"/>
    <tableColumn id="4" name="Column4" headerRowDxfId="153" dataDxfId="152" headerRowCellStyle="Normal 2" dataCellStyle="Normal 2"/>
    <tableColumn id="5" name="Column5" headerRowDxfId="151" dataDxfId="150" headerRowCellStyle="Normal 2" dataCellStyle="Normal 2"/>
  </tableColumns>
  <tableStyleInfo name="TableStyleMedium9" showFirstColumn="0" showLastColumn="0" showRowStripes="1" showColumnStripes="0"/>
</table>
</file>

<file path=xl/tables/table49.xml><?xml version="1.0" encoding="utf-8"?>
<table xmlns="http://schemas.openxmlformats.org/spreadsheetml/2006/main" id="49" name="Table4650" displayName="Table4650" ref="J57:N59" headerRowCount="0" totalsRowShown="0" headerRowDxfId="149" dataDxfId="148" headerRowCellStyle="Normal 2" dataCellStyle="Normal 2">
  <tableColumns count="5">
    <tableColumn id="1" name="Column1" headerRowDxfId="147" dataDxfId="146" headerRowCellStyle="Normal 2" dataCellStyle="Normal 2"/>
    <tableColumn id="2" name="Column2" headerRowDxfId="145" dataDxfId="144" headerRowCellStyle="Normal 2" dataCellStyle="Normal 2"/>
    <tableColumn id="3" name="Column3" headerRowDxfId="143" dataDxfId="142" headerRowCellStyle="Normal 2" dataCellStyle="Normal 2"/>
    <tableColumn id="4" name="Column4" headerRowDxfId="141" dataDxfId="140" headerRowCellStyle="Normal 2" dataCellStyle="Normal 2"/>
    <tableColumn id="5" name="Column5" headerRowDxfId="139" dataDxfId="138" headerRowCellStyle="Normal 2" dataCellStyle="Normal 2"/>
  </tableColumns>
  <tableStyleInfo name="TableStyleMedium9" showFirstColumn="0" showLastColumn="0" showRowStripes="1" showColumnStripes="0"/>
</table>
</file>

<file path=xl/tables/table5.xml><?xml version="1.0" encoding="utf-8"?>
<table xmlns="http://schemas.openxmlformats.org/spreadsheetml/2006/main" id="5" name="Table5" displayName="Table5" ref="A24:E27" headerRowCount="0" totalsRowShown="0" headerRowDxfId="695" dataDxfId="694">
  <tableColumns count="5">
    <tableColumn id="1" name="Column1" headerRowDxfId="693"/>
    <tableColumn id="2" name="Column2" headerRowDxfId="692" dataDxfId="691"/>
    <tableColumn id="3" name="Column3" headerRowDxfId="690" dataDxfId="689"/>
    <tableColumn id="4" name="Column4" headerRowDxfId="688" dataDxfId="687"/>
    <tableColumn id="5" name="Column5" headerRowDxfId="686" headerRowCellStyle="Comma"/>
  </tableColumns>
  <tableStyleInfo name="TableStyleMedium2" showFirstColumn="0" showLastColumn="0" showRowStripes="1" showColumnStripes="0"/>
</table>
</file>

<file path=xl/tables/table50.xml><?xml version="1.0" encoding="utf-8"?>
<table xmlns="http://schemas.openxmlformats.org/spreadsheetml/2006/main" id="50" name="Table4551" displayName="Table4551" ref="P43:S49" headerRowCount="0" totalsRowShown="0" headerRowDxfId="137" dataDxfId="136" headerRowCellStyle="Normal 2">
  <tableColumns count="4">
    <tableColumn id="1" name="Column1" headerRowDxfId="135" dataDxfId="134" headerRowCellStyle="Normal 2" dataCellStyle="Comma 3"/>
    <tableColumn id="2" name="Column2" headerRowDxfId="133" dataDxfId="132" headerRowCellStyle="Normal 2" dataCellStyle="Comma"/>
    <tableColumn id="3" name="Column3" headerRowDxfId="131" dataDxfId="130" headerRowCellStyle="Normal 2" dataCellStyle="Normal 2"/>
    <tableColumn id="4" name="Column4" headerRowDxfId="129" dataDxfId="128" headerRowCellStyle="Normal 2" dataCellStyle="Normal 2"/>
  </tableColumns>
  <tableStyleInfo name="TableStyleLight16" showFirstColumn="0" showLastColumn="0" showRowStripes="1" showColumnStripes="0"/>
</table>
</file>

<file path=xl/tables/table51.xml><?xml version="1.0" encoding="utf-8"?>
<table xmlns="http://schemas.openxmlformats.org/spreadsheetml/2006/main" id="51" name="Table4552" displayName="Table4552" ref="P33:S39" headerRowCount="0" totalsRowShown="0" headerRowDxfId="127" dataDxfId="126" headerRowCellStyle="Normal 2">
  <tableColumns count="4">
    <tableColumn id="1" name="Column1" headerRowDxfId="125" dataDxfId="124" headerRowCellStyle="Normal 2" dataCellStyle="Comma 3"/>
    <tableColumn id="2" name="Column2" headerRowDxfId="123" dataDxfId="122" headerRowCellStyle="Normal 2" dataCellStyle="Comma"/>
    <tableColumn id="3" name="Column3" headerRowDxfId="121" dataDxfId="120" headerRowCellStyle="Normal 2" dataCellStyle="Normal 2"/>
    <tableColumn id="4" name="Column4" headerRowDxfId="119" dataDxfId="118" headerRowCellStyle="Normal 2" dataCellStyle="Normal 2"/>
  </tableColumns>
  <tableStyleInfo name="TableStyleLight16" showFirstColumn="0" showLastColumn="0" showRowStripes="1" showColumnStripes="0"/>
</table>
</file>

<file path=xl/tables/table52.xml><?xml version="1.0" encoding="utf-8"?>
<table xmlns="http://schemas.openxmlformats.org/spreadsheetml/2006/main" id="52" name="Table4553" displayName="Table4553" ref="P23:S29" headerRowCount="0" totalsRowShown="0" headerRowDxfId="117" dataDxfId="116" headerRowCellStyle="Normal 2">
  <tableColumns count="4">
    <tableColumn id="1" name="Column1" headerRowDxfId="115" dataDxfId="114" headerRowCellStyle="Normal 2" dataCellStyle="Comma 3"/>
    <tableColumn id="2" name="Column2" headerRowDxfId="113" dataDxfId="112" headerRowCellStyle="Normal 2" dataCellStyle="Comma"/>
    <tableColumn id="3" name="Column3" headerRowDxfId="111" dataDxfId="110" headerRowCellStyle="Normal 2" dataCellStyle="Normal 2"/>
    <tableColumn id="4" name="Column4" headerRowDxfId="109" dataDxfId="108" headerRowCellStyle="Normal 2" dataCellStyle="Normal 2"/>
  </tableColumns>
  <tableStyleInfo name="TableStyleLight16" showFirstColumn="0" showLastColumn="0" showRowStripes="1" showColumnStripes="0"/>
</table>
</file>

<file path=xl/tables/table53.xml><?xml version="1.0" encoding="utf-8"?>
<table xmlns="http://schemas.openxmlformats.org/spreadsheetml/2006/main" id="18" name="Table18" displayName="Table18" ref="U23:Y43" headerRowCount="0" totalsRowShown="0" headerRowDxfId="107" headerRowCellStyle="Comma">
  <tableColumns count="5">
    <tableColumn id="1" name="Column1" headerRowDxfId="106" dataDxfId="105" headerRowCellStyle="Comma" dataCellStyle="Comma"/>
    <tableColumn id="2" name="Column2" headerRowDxfId="104" dataDxfId="103" headerRowCellStyle="Comma" dataCellStyle="Comma"/>
    <tableColumn id="3" name="Column3" headerRowDxfId="102" dataDxfId="101" headerRowCellStyle="Comma" dataCellStyle="Comma"/>
    <tableColumn id="4" name="Column4" headerRowDxfId="100" dataDxfId="99" headerRowCellStyle="Comma" dataCellStyle="Comma">
      <calculatedColumnFormula>+W23-V23</calculatedColumnFormula>
    </tableColumn>
    <tableColumn id="5" name="Column5" headerRowDxfId="98" headerRowCellStyle="Comma" dataCellStyle="Comma">
      <calculatedColumnFormula>+Table18[[#This Row],[Column1]]*Table18[[#This Row],[Column4]]</calculatedColumnFormula>
    </tableColumn>
  </tableColumns>
  <tableStyleInfo name="TableStyleMedium2" showFirstColumn="0" showLastColumn="0" showRowStripes="1" showColumnStripes="0"/>
</table>
</file>

<file path=xl/tables/table54.xml><?xml version="1.0" encoding="utf-8"?>
<table xmlns="http://schemas.openxmlformats.org/spreadsheetml/2006/main" id="30" name="Table30" displayName="Table30" ref="U48:Y62" headerRowCount="0" totalsRowShown="0" headerRowDxfId="97" headerRowCellStyle="Comma">
  <tableColumns count="5">
    <tableColumn id="1" name="Column1" headerRowDxfId="96" dataDxfId="95" headerRowCellStyle="Comma" dataCellStyle="Comma"/>
    <tableColumn id="2" name="Column2" headerRowDxfId="94" dataDxfId="93" headerRowCellStyle="Comma" dataCellStyle="Comma"/>
    <tableColumn id="3" name="Column3" headerRowDxfId="92" dataDxfId="91" headerRowCellStyle="Comma" dataCellStyle="Comma"/>
    <tableColumn id="4" name="Column4" headerRowDxfId="90" dataDxfId="89" headerRowCellStyle="Comma" dataCellStyle="Comma">
      <calculatedColumnFormula>+W48-V48</calculatedColumnFormula>
    </tableColumn>
    <tableColumn id="5" name="Column5" headerRowDxfId="88" dataDxfId="87" headerRowCellStyle="Comma" dataCellStyle="Comma">
      <calculatedColumnFormula>+Table30[[#This Row],[Column4]]*Table30[[#This Row],[Column1]]</calculatedColumnFormula>
    </tableColumn>
  </tableColumns>
  <tableStyleInfo name="TableStyleMedium2" showFirstColumn="0" showLastColumn="0" showRowStripes="1" showColumnStripes="0"/>
</table>
</file>

<file path=xl/tables/table55.xml><?xml version="1.0" encoding="utf-8"?>
<table xmlns="http://schemas.openxmlformats.org/spreadsheetml/2006/main" id="31" name="Table31" displayName="Table31" ref="U68:Y79" headerRowCount="0" totalsRowShown="0" headerRowDxfId="86" headerRowCellStyle="Comma">
  <tableColumns count="5">
    <tableColumn id="1" name="Column1" headerRowDxfId="85" dataDxfId="84" headerRowCellStyle="Comma" dataCellStyle="Comma"/>
    <tableColumn id="2" name="Column2" headerRowDxfId="83" dataDxfId="82" headerRowCellStyle="Comma" dataCellStyle="Comma"/>
    <tableColumn id="3" name="Column3" headerRowDxfId="81" dataDxfId="80" headerRowCellStyle="Comma" dataCellStyle="Comma"/>
    <tableColumn id="4" name="Column4" headerRowDxfId="79" dataDxfId="78" headerRowCellStyle="Comma" dataCellStyle="Comma">
      <calculatedColumnFormula>+Table31[[#This Row],[Column3]]-Table31[[#This Row],[Column2]]</calculatedColumnFormula>
    </tableColumn>
    <tableColumn id="5" name="Column5" headerRowDxfId="77" dataDxfId="76" headerRowCellStyle="Comma" dataCellStyle="Comma">
      <calculatedColumnFormula>+Table31[[#This Row],[Column4]]*Table31[[#This Row],[Column1]]</calculatedColumnFormula>
    </tableColumn>
  </tableColumns>
  <tableStyleInfo name="TableStyleMedium2" showFirstColumn="0" showLastColumn="0" showRowStripes="1" showColumnStripes="0"/>
</table>
</file>

<file path=xl/tables/table56.xml><?xml version="1.0" encoding="utf-8"?>
<table xmlns="http://schemas.openxmlformats.org/spreadsheetml/2006/main" id="36" name="Table37" displayName="Table37" ref="U85:Y92" headerRowCount="0" totalsRowShown="0" headerRowDxfId="75" headerRowCellStyle="Comma">
  <tableColumns count="5">
    <tableColumn id="1" name="Column1" headerRowDxfId="74" dataDxfId="73" headerRowCellStyle="Comma" dataCellStyle="Comma"/>
    <tableColumn id="2" name="Column2" headerRowDxfId="72" dataDxfId="71" headerRowCellStyle="Comma" dataCellStyle="Comma"/>
    <tableColumn id="3" name="Column3" headerRowDxfId="70" dataDxfId="69" headerRowCellStyle="Comma" dataCellStyle="Comma"/>
    <tableColumn id="4" name="Column4" headerRowDxfId="68" dataDxfId="67" headerRowCellStyle="Comma" dataCellStyle="Comma">
      <calculatedColumnFormula>+W85-V85</calculatedColumnFormula>
    </tableColumn>
    <tableColumn id="5" name="Column5" headerRowDxfId="66" dataDxfId="65" headerRowCellStyle="Comma" dataCellStyle="Comma">
      <calculatedColumnFormula>+Table37[[#This Row],[Column4]]*Table37[[#This Row],[Column1]]</calculatedColumnFormula>
    </tableColumn>
  </tableColumns>
  <tableStyleInfo name="TableStyleMedium2" showFirstColumn="0" showLastColumn="0" showRowStripes="1" showColumnStripes="0"/>
</table>
</file>

<file path=xl/tables/table57.xml><?xml version="1.0" encoding="utf-8"?>
<table xmlns="http://schemas.openxmlformats.org/spreadsheetml/2006/main" id="60" name="Table60" displayName="Table60" ref="B53:F55" headerRowCount="0" totalsRowShown="0" headerRowDxfId="64" dataDxfId="63">
  <tableColumns count="5">
    <tableColumn id="1" name="Column1" dataDxfId="62"/>
    <tableColumn id="2" name="Column2" dataDxfId="61">
      <calculatedColumnFormula>+Resumen!B41</calculatedColumnFormula>
    </tableColumn>
    <tableColumn id="3" name="Column3" dataDxfId="60">
      <calculatedColumnFormula>+'8.Solidez'!#REF!</calculatedColumnFormula>
    </tableColumn>
    <tableColumn id="4" name="Column4" dataDxfId="59">
      <calculatedColumnFormula>+'8.Solidez'!#REF!</calculatedColumnFormula>
    </tableColumn>
    <tableColumn id="5" name="Column5" dataDxfId="58">
      <calculatedColumnFormula>+'8.Solidez'!#REF!</calculatedColumnFormula>
    </tableColumn>
  </tableColumns>
  <tableStyleInfo name="TableStyleLight16" showFirstColumn="1" showLastColumn="0" showRowStripes="1" showColumnStripes="0"/>
</table>
</file>

<file path=xl/tables/table58.xml><?xml version="1.0" encoding="utf-8"?>
<table xmlns="http://schemas.openxmlformats.org/spreadsheetml/2006/main" id="61" name="Table61" displayName="Table61" ref="B11:L13" headerRowCount="0" totalsRowShown="0" headerRowDxfId="57" dataDxfId="56">
  <tableColumns count="11">
    <tableColumn id="1" name="Column1" dataDxfId="55"/>
    <tableColumn id="2" name="Column2" dataDxfId="54"/>
    <tableColumn id="3" name="Column3" dataDxfId="53"/>
    <tableColumn id="4" name="Column4" dataDxfId="52"/>
    <tableColumn id="5" name="Column5" dataDxfId="51"/>
    <tableColumn id="6" name="Column6" dataDxfId="50"/>
    <tableColumn id="7" name="Column7" dataDxfId="49"/>
    <tableColumn id="8" name="Column8" dataDxfId="48"/>
    <tableColumn id="9" name="Column9" dataDxfId="47"/>
    <tableColumn id="10" name="Column10" dataDxfId="46"/>
    <tableColumn id="11" name="Column11" dataDxfId="45"/>
  </tableColumns>
  <tableStyleInfo name="TableStyleMedium2" showFirstColumn="0" showLastColumn="0" showRowStripes="1" showColumnStripes="0"/>
</table>
</file>

<file path=xl/tables/table59.xml><?xml version="1.0" encoding="utf-8"?>
<table xmlns="http://schemas.openxmlformats.org/spreadsheetml/2006/main" id="62" name="Table62" displayName="Table62" ref="B4:F8" headerRowCount="0" totalsRowShown="0" headerRowDxfId="44" dataDxfId="43">
  <tableColumns count="5">
    <tableColumn id="1" name="Column1" dataDxfId="42"/>
    <tableColumn id="2" name="Column2" dataDxfId="41"/>
    <tableColumn id="3" name="Column3" dataDxfId="40"/>
    <tableColumn id="4" name="Column4" dataDxfId="39"/>
    <tableColumn id="5" name="Column5" dataDxfId="38"/>
  </tableColumns>
  <tableStyleInfo name="TableStyleMedium2" showFirstColumn="0" showLastColumn="0" showRowStripes="1" showColumnStripes="0"/>
</table>
</file>

<file path=xl/tables/table6.xml><?xml version="1.0" encoding="utf-8"?>
<table xmlns="http://schemas.openxmlformats.org/spreadsheetml/2006/main" id="11" name="Table11" displayName="Table11" ref="G24:K25" headerRowCount="0" totalsRowShown="0" headerRowDxfId="685">
  <tableColumns count="5">
    <tableColumn id="1" name="Column1" headerRowDxfId="684"/>
    <tableColumn id="2" name="Column2" headerRowDxfId="683"/>
    <tableColumn id="3" name="Column3" headerRowDxfId="682"/>
    <tableColumn id="4" name="Column4" headerRowDxfId="681"/>
    <tableColumn id="5" name="Column5" headerRowDxfId="680" headerRowCellStyle="Comma"/>
  </tableColumns>
  <tableStyleInfo name="TableStyleMedium2" showFirstColumn="0" showLastColumn="0" showRowStripes="1" showColumnStripes="0"/>
</table>
</file>

<file path=xl/tables/table60.xml><?xml version="1.0" encoding="utf-8"?>
<table xmlns="http://schemas.openxmlformats.org/spreadsheetml/2006/main" id="64" name="Table64" displayName="Table64" ref="B15:G18" headerRowCount="0" totalsRowShown="0" headerRowDxfId="37" dataDxfId="36">
  <tableColumns count="6">
    <tableColumn id="1" name="Column1" dataDxfId="35">
      <calculatedColumnFormula>+B4</calculatedColumnFormula>
    </tableColumn>
    <tableColumn id="2" name="Column2" dataDxfId="34" dataCellStyle="Normal 2"/>
    <tableColumn id="3" name="Column3" dataDxfId="33"/>
    <tableColumn id="4" name="Column4" dataDxfId="32"/>
    <tableColumn id="5" name="Column5" dataDxfId="31"/>
    <tableColumn id="6" name="Column6" dataDxfId="30"/>
  </tableColumns>
  <tableStyleInfo name="TableStyleMedium2" showFirstColumn="0" showLastColumn="0" showRowStripes="1" showColumnStripes="0"/>
</table>
</file>

<file path=xl/tables/table61.xml><?xml version="1.0" encoding="utf-8"?>
<table xmlns="http://schemas.openxmlformats.org/spreadsheetml/2006/main" id="12" name="Table12" displayName="Table12" ref="B21:F25" headerRowCount="0" totalsRowShown="0" headerRowDxfId="29" dataDxfId="28" tableBorderDxfId="27" dataCellStyle="Percent">
  <tableColumns count="5">
    <tableColumn id="1" name="Column1" headerRowDxfId="26"/>
    <tableColumn id="2" name="Column2" headerRowDxfId="25" dataDxfId="24" dataCellStyle="Percent">
      <calculatedColumnFormula>+'7.Dupont'!Q53</calculatedColumnFormula>
    </tableColumn>
    <tableColumn id="3" name="Column3" headerRowDxfId="23" dataDxfId="22" dataCellStyle="Percent">
      <calculatedColumnFormula>IF(C21&gt;E21,"&gt;","&lt;")</calculatedColumnFormula>
    </tableColumn>
    <tableColumn id="4" name="Column4" headerRowDxfId="21" dataDxfId="20" dataCellStyle="Percent">
      <calculatedColumnFormula>+'7.Dupont'!T53</calculatedColumnFormula>
    </tableColumn>
    <tableColumn id="5" name="Column5" headerRowDxfId="19" dataDxfId="18" dataCellStyle="Normal 2">
      <calculatedColumnFormula>IF(J7&gt;M7,"Deuda","Acciones")</calculatedColumnFormula>
    </tableColumn>
  </tableColumns>
  <tableStyleInfo name="TableStyleLight16" showFirstColumn="0" showLastColumn="0" showRowStripes="1" showColumnStripes="0"/>
</table>
</file>

<file path=xl/tables/table62.xml><?xml version="1.0" encoding="utf-8"?>
<table xmlns="http://schemas.openxmlformats.org/spreadsheetml/2006/main" id="57" name="Table57" displayName="Table57" ref="B40:I51" headerRowCount="0" totalsRowShown="0" headerRowDxfId="17" dataDxfId="16" dataCellStyle="Normal 2">
  <tableColumns count="8">
    <tableColumn id="1" name="Column1" headerRowDxfId="15" dataDxfId="14" headerRowCellStyle="Normal 2" dataCellStyle="Normal 2">
      <calculatedColumnFormula>IF(Resumen!$F40&gt;30%,"Alta",IF(AND(Resumen!$F40&lt;30%,Resumen!$F40&gt;10%),"Aceptable",IF(AND(Resumen!$F40&lt;30%,Resumen!$F40&gt;10%),"Baja","Muy baja")))</calculatedColumnFormula>
    </tableColumn>
    <tableColumn id="2" name="Column2" headerRowDxfId="13" dataDxfId="12" dataCellStyle="Normal 2"/>
    <tableColumn id="3" name="Column3" headerRowDxfId="11" dataDxfId="10" dataCellStyle="Normal 2"/>
    <tableColumn id="4" name="Column4" headerRowDxfId="9" dataDxfId="8" dataCellStyle="Normal 2"/>
    <tableColumn id="5" name="Column5" headerRowDxfId="7" dataDxfId="6" dataCellStyle="Normal 2"/>
    <tableColumn id="6" name="Column6" headerRowDxfId="5" dataDxfId="4" dataCellStyle="Percent 2 2"/>
    <tableColumn id="7" name="Column7" headerRowDxfId="3" dataDxfId="2" dataCellStyle="Normal 2"/>
    <tableColumn id="8" name="Column8" headerRowDxfId="1" dataDxfId="0" dataCellStyle="Normal 2"/>
  </tableColumns>
  <tableStyleInfo name="TableStyleMedium2" showFirstColumn="0" showLastColumn="0" showRowStripes="1" showColumnStripes="0"/>
</table>
</file>

<file path=xl/tables/table7.xml><?xml version="1.0" encoding="utf-8"?>
<table xmlns="http://schemas.openxmlformats.org/spreadsheetml/2006/main" id="10" name="Table10" displayName="Table10" ref="B7:E36" headerRowCount="0" totalsRowShown="0" dataDxfId="679" tableBorderDxfId="678" dataCellStyle="Comma">
  <tableColumns count="4">
    <tableColumn id="1" name="Column1" dataDxfId="677" dataCellStyle="Normal 2"/>
    <tableColumn id="2" name="Column2" dataDxfId="676" dataCellStyle="Comma"/>
    <tableColumn id="3" name="Column3" dataDxfId="675" dataCellStyle="Comma"/>
    <tableColumn id="4" name="Column4" dataDxfId="674" dataCellStyle="Comma"/>
  </tableColumns>
  <tableStyleInfo name="TableStyleMedium2" showFirstColumn="0" showLastColumn="0" showRowStripes="1" showColumnStripes="0"/>
</table>
</file>

<file path=xl/tables/table8.xml><?xml version="1.0" encoding="utf-8"?>
<table xmlns="http://schemas.openxmlformats.org/spreadsheetml/2006/main" id="40" name="AVER" displayName="AVER" ref="A54:I68" headerRowCount="0" totalsRowShown="0" headerRowDxfId="673" dataDxfId="672" dataCellStyle="Percent">
  <tableColumns count="9">
    <tableColumn id="1" name="Column1" headerRowDxfId="671" dataDxfId="670"/>
    <tableColumn id="2" name="Column2" headerRowDxfId="669" dataDxfId="668" dataCellStyle="Comma"/>
    <tableColumn id="11" name="Column3" headerRowDxfId="667" dataDxfId="666" dataCellStyle="Percent">
      <calculatedColumnFormula>+AVER[[#This Row],[Column2]]/AVER[[#This Row],[Column2]]</calculatedColumnFormula>
    </tableColumn>
    <tableColumn id="4" name="Column4" headerRowDxfId="665" dataDxfId="664" dataCellStyle="Comma"/>
    <tableColumn id="12" name="Column5" headerRowDxfId="663" dataDxfId="662" dataCellStyle="Percent">
      <calculatedColumnFormula>+AVER[[#This Row],[Column4]]/$D$59</calculatedColumnFormula>
    </tableColumn>
    <tableColumn id="6" name="Column6" headerRowDxfId="661" dataDxfId="660" dataCellStyle="Comma"/>
    <tableColumn id="13" name="Column7" headerRowDxfId="659" dataDxfId="658" dataCellStyle="Percent">
      <calculatedColumnFormula>+AVER[[#This Row],[Column6]]/$F$59</calculatedColumnFormula>
    </tableColumn>
    <tableColumn id="8" name="Column8" headerRowDxfId="657" dataDxfId="656" headerRowCellStyle="Comma" dataCellStyle="Comma"/>
    <tableColumn id="14" name="Column9" headerRowDxfId="655" dataDxfId="654" dataCellStyle="Percent">
      <calculatedColumnFormula>+AVER[[#This Row],[Column8]]/$H$59</calculatedColumnFormula>
    </tableColumn>
  </tableColumns>
  <tableStyleInfo name="TableStyleMedium2" showFirstColumn="0" showLastColumn="0" showRowStripes="0" showColumnStripes="1"/>
</table>
</file>

<file path=xl/tables/table9.xml><?xml version="1.0" encoding="utf-8"?>
<table xmlns="http://schemas.openxmlformats.org/spreadsheetml/2006/main" id="9" name="Table9" displayName="Table9" ref="A6:I45" headerRowCount="0" totalsRowShown="0" headerRowDxfId="653" tableBorderDxfId="652" headerRowCellStyle="Comma">
  <tableColumns count="9">
    <tableColumn id="1" name="Column1" headerRowDxfId="651"/>
    <tableColumn id="2" name="Column2" headerRowDxfId="650" headerRowCellStyle="Comma"/>
    <tableColumn id="3" name="Column3" headerRowDxfId="649"/>
    <tableColumn id="4" name="Column4" headerRowDxfId="648" headerRowCellStyle="Comma"/>
    <tableColumn id="5" name="Column5" headerRowDxfId="647"/>
    <tableColumn id="6" name="Column6" headerRowDxfId="646" headerRowCellStyle="Comma"/>
    <tableColumn id="7" name="Column7" headerRowDxfId="645"/>
    <tableColumn id="8" name="Column8" headerRowDxfId="644" headerRowCellStyle="Comma"/>
    <tableColumn id="9" name="Column9" headerRowDxfId="643"/>
  </tableColumns>
  <tableStyleInfo name="TableStyleMedium2" showFirstColumn="0" showLastColumn="0" showRowStripes="0" showColumnStripes="1"/>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32.xml"/><Relationship Id="rId13" Type="http://schemas.openxmlformats.org/officeDocument/2006/relationships/table" Target="../tables/table37.xml"/><Relationship Id="rId3" Type="http://schemas.openxmlformats.org/officeDocument/2006/relationships/table" Target="../tables/table27.xml"/><Relationship Id="rId7" Type="http://schemas.openxmlformats.org/officeDocument/2006/relationships/table" Target="../tables/table31.xml"/><Relationship Id="rId12" Type="http://schemas.openxmlformats.org/officeDocument/2006/relationships/table" Target="../tables/table36.xml"/><Relationship Id="rId2" Type="http://schemas.openxmlformats.org/officeDocument/2006/relationships/table" Target="../tables/table26.xml"/><Relationship Id="rId1" Type="http://schemas.openxmlformats.org/officeDocument/2006/relationships/printerSettings" Target="../printerSettings/printerSettings7.bin"/><Relationship Id="rId6" Type="http://schemas.openxmlformats.org/officeDocument/2006/relationships/table" Target="../tables/table30.xml"/><Relationship Id="rId11" Type="http://schemas.openxmlformats.org/officeDocument/2006/relationships/table" Target="../tables/table35.xml"/><Relationship Id="rId5" Type="http://schemas.openxmlformats.org/officeDocument/2006/relationships/table" Target="../tables/table29.xml"/><Relationship Id="rId10" Type="http://schemas.openxmlformats.org/officeDocument/2006/relationships/table" Target="../tables/table34.xml"/><Relationship Id="rId4" Type="http://schemas.openxmlformats.org/officeDocument/2006/relationships/table" Target="../tables/table28.xml"/><Relationship Id="rId9" Type="http://schemas.openxmlformats.org/officeDocument/2006/relationships/table" Target="../tables/table3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44.xml"/><Relationship Id="rId13" Type="http://schemas.openxmlformats.org/officeDocument/2006/relationships/table" Target="../tables/table49.xml"/><Relationship Id="rId18" Type="http://schemas.openxmlformats.org/officeDocument/2006/relationships/table" Target="../tables/table54.xml"/><Relationship Id="rId3" Type="http://schemas.openxmlformats.org/officeDocument/2006/relationships/table" Target="../tables/table39.xml"/><Relationship Id="rId7" Type="http://schemas.openxmlformats.org/officeDocument/2006/relationships/table" Target="../tables/table43.xml"/><Relationship Id="rId12" Type="http://schemas.openxmlformats.org/officeDocument/2006/relationships/table" Target="../tables/table48.xml"/><Relationship Id="rId17" Type="http://schemas.openxmlformats.org/officeDocument/2006/relationships/table" Target="../tables/table53.xml"/><Relationship Id="rId2" Type="http://schemas.openxmlformats.org/officeDocument/2006/relationships/table" Target="../tables/table38.xml"/><Relationship Id="rId16" Type="http://schemas.openxmlformats.org/officeDocument/2006/relationships/table" Target="../tables/table52.xml"/><Relationship Id="rId20" Type="http://schemas.openxmlformats.org/officeDocument/2006/relationships/table" Target="../tables/table56.xml"/><Relationship Id="rId1" Type="http://schemas.openxmlformats.org/officeDocument/2006/relationships/printerSettings" Target="../printerSettings/printerSettings8.bin"/><Relationship Id="rId6" Type="http://schemas.openxmlformats.org/officeDocument/2006/relationships/table" Target="../tables/table42.xml"/><Relationship Id="rId11" Type="http://schemas.openxmlformats.org/officeDocument/2006/relationships/table" Target="../tables/table47.xml"/><Relationship Id="rId5" Type="http://schemas.openxmlformats.org/officeDocument/2006/relationships/table" Target="../tables/table41.xml"/><Relationship Id="rId15" Type="http://schemas.openxmlformats.org/officeDocument/2006/relationships/table" Target="../tables/table51.xml"/><Relationship Id="rId10" Type="http://schemas.openxmlformats.org/officeDocument/2006/relationships/table" Target="../tables/table46.xml"/><Relationship Id="rId19" Type="http://schemas.openxmlformats.org/officeDocument/2006/relationships/table" Target="../tables/table55.xml"/><Relationship Id="rId4" Type="http://schemas.openxmlformats.org/officeDocument/2006/relationships/table" Target="../tables/table40.xml"/><Relationship Id="rId9" Type="http://schemas.openxmlformats.org/officeDocument/2006/relationships/table" Target="../tables/table45.xml"/><Relationship Id="rId14" Type="http://schemas.openxmlformats.org/officeDocument/2006/relationships/table" Target="../tables/table50.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8.xml"/><Relationship Id="rId7" Type="http://schemas.openxmlformats.org/officeDocument/2006/relationships/table" Target="../tables/table62.xml"/><Relationship Id="rId2" Type="http://schemas.openxmlformats.org/officeDocument/2006/relationships/table" Target="../tables/table57.xml"/><Relationship Id="rId1" Type="http://schemas.openxmlformats.org/officeDocument/2006/relationships/drawing" Target="../drawings/drawing4.xml"/><Relationship Id="rId6" Type="http://schemas.openxmlformats.org/officeDocument/2006/relationships/table" Target="../tables/table61.xml"/><Relationship Id="rId5" Type="http://schemas.openxmlformats.org/officeDocument/2006/relationships/table" Target="../tables/table60.xml"/><Relationship Id="rId4" Type="http://schemas.openxmlformats.org/officeDocument/2006/relationships/table" Target="../tables/table59.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table" Target="../tables/table8.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table" Target="../tables/table10.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4.bin"/><Relationship Id="rId4" Type="http://schemas.openxmlformats.org/officeDocument/2006/relationships/table" Target="../tables/table1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1.xml"/><Relationship Id="rId5" Type="http://schemas.openxmlformats.org/officeDocument/2006/relationships/table" Target="../tables/table16.xml"/><Relationship Id="rId4" Type="http://schemas.openxmlformats.org/officeDocument/2006/relationships/table" Target="../tables/table15.xml"/></Relationships>
</file>

<file path=xl/worksheets/_rels/sheet9.xml.rels><?xml version="1.0" encoding="UTF-8" standalone="yes"?>
<Relationships xmlns="http://schemas.openxmlformats.org/package/2006/relationships"><Relationship Id="rId8" Type="http://schemas.openxmlformats.org/officeDocument/2006/relationships/table" Target="../tables/table22.xml"/><Relationship Id="rId3" Type="http://schemas.openxmlformats.org/officeDocument/2006/relationships/table" Target="../tables/table17.xml"/><Relationship Id="rId7" Type="http://schemas.openxmlformats.org/officeDocument/2006/relationships/table" Target="../tables/table21.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table" Target="../tables/table20.xml"/><Relationship Id="rId11" Type="http://schemas.openxmlformats.org/officeDocument/2006/relationships/table" Target="../tables/table25.xml"/><Relationship Id="rId5" Type="http://schemas.openxmlformats.org/officeDocument/2006/relationships/table" Target="../tables/table19.xml"/><Relationship Id="rId10" Type="http://schemas.openxmlformats.org/officeDocument/2006/relationships/table" Target="../tables/table24.xml"/><Relationship Id="rId4" Type="http://schemas.openxmlformats.org/officeDocument/2006/relationships/table" Target="../tables/table18.xml"/><Relationship Id="rId9" Type="http://schemas.openxmlformats.org/officeDocument/2006/relationships/table" Target="../tables/table23.xml"/></Relationships>
</file>

<file path=xl/worksheets/sheet1.xml><?xml version="1.0" encoding="utf-8"?>
<worksheet xmlns="http://schemas.openxmlformats.org/spreadsheetml/2006/main" xmlns:r="http://schemas.openxmlformats.org/officeDocument/2006/relationships">
  <sheetPr>
    <tabColor theme="5" tint="0.39997558519241921"/>
  </sheetPr>
  <dimension ref="A5:F27"/>
  <sheetViews>
    <sheetView showGridLines="0" topLeftCell="A4" zoomScaleNormal="100" workbookViewId="0">
      <selection activeCell="D17" sqref="D17"/>
    </sheetView>
  </sheetViews>
  <sheetFormatPr defaultRowHeight="18.75"/>
  <cols>
    <col min="1" max="1" width="9.140625" style="11"/>
    <col min="2" max="2" width="53.5703125" style="11" customWidth="1"/>
    <col min="3" max="16384" width="9.140625" style="11"/>
  </cols>
  <sheetData>
    <row r="5" spans="1:5">
      <c r="B5" s="10" t="s">
        <v>189</v>
      </c>
    </row>
    <row r="6" spans="1:5">
      <c r="B6" s="10" t="str">
        <f>+'1.Estado Situación'!G3</f>
        <v>Distribuidora Santa Bárbara de Pavas, S.A.</v>
      </c>
    </row>
    <row r="7" spans="1:5">
      <c r="B7" s="12"/>
    </row>
    <row r="8" spans="1:5">
      <c r="B8" s="9" t="s">
        <v>183</v>
      </c>
    </row>
    <row r="9" spans="1:5">
      <c r="A9" s="147"/>
      <c r="B9" s="147"/>
      <c r="C9" s="147"/>
      <c r="D9" s="147"/>
      <c r="E9" s="147"/>
    </row>
    <row r="10" spans="1:5">
      <c r="B10" s="429" t="s">
        <v>181</v>
      </c>
    </row>
    <row r="11" spans="1:5">
      <c r="B11" s="429" t="s">
        <v>182</v>
      </c>
    </row>
    <row r="12" spans="1:5">
      <c r="B12" s="429" t="s">
        <v>323</v>
      </c>
    </row>
    <row r="13" spans="1:5">
      <c r="B13" s="429" t="s">
        <v>324</v>
      </c>
    </row>
    <row r="14" spans="1:5">
      <c r="B14" s="429" t="s">
        <v>325</v>
      </c>
    </row>
    <row r="15" spans="1:5">
      <c r="B15" s="429" t="s">
        <v>326</v>
      </c>
    </row>
    <row r="16" spans="1:5">
      <c r="B16" s="429" t="s">
        <v>327</v>
      </c>
    </row>
    <row r="17" spans="2:6">
      <c r="B17" s="429" t="s">
        <v>328</v>
      </c>
    </row>
    <row r="18" spans="2:6">
      <c r="B18" s="429" t="s">
        <v>329</v>
      </c>
    </row>
    <row r="19" spans="2:6">
      <c r="B19" s="429" t="s">
        <v>330</v>
      </c>
    </row>
    <row r="20" spans="2:6">
      <c r="B20" s="430" t="s">
        <v>331</v>
      </c>
    </row>
    <row r="21" spans="2:6">
      <c r="F21" s="198"/>
    </row>
    <row r="23" spans="2:6" ht="13.5" customHeight="1">
      <c r="B23" s="12" t="s">
        <v>184</v>
      </c>
    </row>
    <row r="24" spans="2:6" ht="13.5" customHeight="1">
      <c r="B24" s="12" t="s">
        <v>185</v>
      </c>
    </row>
    <row r="25" spans="2:6" ht="13.5" customHeight="1">
      <c r="B25" s="12" t="s">
        <v>186</v>
      </c>
    </row>
    <row r="26" spans="2:6" ht="13.5" customHeight="1">
      <c r="B26" s="12" t="s">
        <v>187</v>
      </c>
    </row>
    <row r="27" spans="2:6" ht="13.5" customHeight="1">
      <c r="B27" s="13" t="s">
        <v>188</v>
      </c>
    </row>
  </sheetData>
  <hyperlinks>
    <hyperlink ref="B10" location="'1.Estado Situación'!A1" display="1.Estado Situación'!A1"/>
    <hyperlink ref="B11" location="'2.Estado Resultados'!A1" display="2.Estado Resultados'!A1"/>
    <hyperlink ref="B12" location="'3.Flujo efectivo financiero'!A1" display="'3.Flujo efectivo financiero'!A1"/>
    <hyperlink ref="B13" location="'4.A. Vertical'!A1" display="'4.A. Vertical'!A1"/>
    <hyperlink ref="B14" location="'5.A. horizontal'!A1" display="'5.A. horizontal'!A1"/>
    <hyperlink ref="B15" location="'6. Índices financieros'!A1" display="'6. Índices financieros'!A1"/>
    <hyperlink ref="B16" location="'7.Dupont'!A1" display="'7.Dupont'!A1"/>
    <hyperlink ref="B17" location="'8.Solidez'!A1" display="'8.Solidez'!A1"/>
    <hyperlink ref="B18" location="'9.Fuentes y empleos'!A1" display="'9.Fuentes y empleos'!A1"/>
    <hyperlink ref="B19" location="'10.Puntualidad'!A1" display="'10.Puntualidad'!A1"/>
    <hyperlink ref="B20" location="Resumen!A1" display="Resumen!A1"/>
  </hyperlinks>
  <pageMargins left="0.7" right="0.7" top="0.75" bottom="0.75" header="0.3" footer="0.3"/>
  <pageSetup orientation="portrait" horizontalDpi="4294967293" verticalDpi="0" r:id="rId1"/>
  <drawing r:id="rId2"/>
  <tableParts count="1">
    <tablePart r:id="rId3"/>
  </tableParts>
</worksheet>
</file>

<file path=xl/worksheets/sheet10.xml><?xml version="1.0" encoding="utf-8"?>
<worksheet xmlns="http://schemas.openxmlformats.org/spreadsheetml/2006/main" xmlns:r="http://schemas.openxmlformats.org/officeDocument/2006/relationships">
  <dimension ref="A1:R143"/>
  <sheetViews>
    <sheetView showGridLines="0" topLeftCell="C7" zoomScale="85" zoomScaleNormal="85" workbookViewId="0">
      <selection activeCell="C43" sqref="C43"/>
    </sheetView>
  </sheetViews>
  <sheetFormatPr defaultRowHeight="12.75"/>
  <cols>
    <col min="1" max="1" width="44.140625" style="15" bestFit="1" customWidth="1"/>
    <col min="2" max="2" width="19" style="15" customWidth="1"/>
    <col min="3" max="3" width="19.85546875" style="15" customWidth="1"/>
    <col min="4" max="5" width="16.5703125" style="32" customWidth="1"/>
    <col min="6" max="6" width="15.140625" style="15" bestFit="1" customWidth="1"/>
    <col min="7" max="7" width="3.140625" style="1" customWidth="1"/>
    <col min="8" max="8" width="20.28515625" style="24" customWidth="1"/>
    <col min="9" max="9" width="29" style="24" customWidth="1"/>
    <col min="10" max="13" width="11.140625" style="24" customWidth="1"/>
    <col min="14" max="14" width="39.85546875" style="24" bestFit="1" customWidth="1"/>
    <col min="15" max="15" width="16.5703125" style="24" bestFit="1" customWidth="1"/>
    <col min="16" max="16" width="9.140625" style="3"/>
    <col min="17" max="17" width="28.28515625" style="24" bestFit="1" customWidth="1"/>
    <col min="18" max="18" width="11.85546875" style="15" bestFit="1" customWidth="1"/>
    <col min="19" max="16384" width="9.140625" style="15"/>
  </cols>
  <sheetData>
    <row r="1" spans="1:18" ht="15">
      <c r="A1" s="14" t="s">
        <v>190</v>
      </c>
    </row>
    <row r="2" spans="1:18">
      <c r="A2" s="20" t="s">
        <v>0</v>
      </c>
      <c r="B2" s="20"/>
      <c r="C2" s="20"/>
      <c r="D2" s="33"/>
      <c r="E2" s="33"/>
    </row>
    <row r="3" spans="1:18">
      <c r="A3" s="20" t="s">
        <v>112</v>
      </c>
      <c r="B3" s="20"/>
      <c r="C3" s="20"/>
      <c r="D3" s="33"/>
      <c r="E3" s="33"/>
      <c r="I3" s="35"/>
      <c r="J3" s="35"/>
      <c r="K3" s="35"/>
      <c r="L3" s="35"/>
      <c r="M3" s="35"/>
      <c r="N3" s="35"/>
      <c r="O3" s="35"/>
    </row>
    <row r="4" spans="1:18">
      <c r="A4" s="22" t="s">
        <v>16</v>
      </c>
      <c r="B4" s="22"/>
      <c r="C4" s="22"/>
      <c r="D4" s="34"/>
      <c r="E4" s="34"/>
      <c r="H4" s="36" t="s">
        <v>0</v>
      </c>
      <c r="I4" s="35"/>
      <c r="J4" s="35"/>
      <c r="K4" s="35"/>
      <c r="L4" s="35"/>
      <c r="M4" s="35"/>
      <c r="N4" s="35"/>
      <c r="O4" s="35"/>
    </row>
    <row r="5" spans="1:18" ht="15">
      <c r="A5"/>
      <c r="B5"/>
      <c r="C5"/>
      <c r="D5"/>
      <c r="E5"/>
      <c r="H5" s="36" t="s">
        <v>132</v>
      </c>
      <c r="I5" s="35"/>
      <c r="J5" s="35"/>
      <c r="K5" s="35"/>
      <c r="L5" s="35"/>
      <c r="M5" s="35"/>
      <c r="N5" s="35"/>
      <c r="O5" s="35"/>
    </row>
    <row r="6" spans="1:18">
      <c r="A6" s="304"/>
      <c r="B6" s="305">
        <v>40086</v>
      </c>
      <c r="C6" s="305">
        <v>39721</v>
      </c>
      <c r="D6" s="293" t="s">
        <v>140</v>
      </c>
      <c r="E6" s="294" t="s">
        <v>141</v>
      </c>
      <c r="H6" s="302" t="s">
        <v>140</v>
      </c>
      <c r="I6" s="302"/>
      <c r="J6" s="302"/>
      <c r="K6" s="302"/>
      <c r="L6" s="302" t="s">
        <v>141</v>
      </c>
      <c r="M6" s="302"/>
      <c r="N6" s="302"/>
      <c r="O6" s="302"/>
    </row>
    <row r="7" spans="1:18">
      <c r="A7" s="306" t="str">
        <f>+'1.Estado Situación'!A8</f>
        <v>Activo corriente</v>
      </c>
      <c r="B7" s="307"/>
      <c r="C7" s="307"/>
      <c r="D7" s="309"/>
      <c r="E7" s="307"/>
      <c r="H7" s="191" t="s">
        <v>130</v>
      </c>
      <c r="I7" s="192" t="s">
        <v>133</v>
      </c>
      <c r="J7" s="192" t="s">
        <v>134</v>
      </c>
      <c r="K7" s="191" t="s">
        <v>135</v>
      </c>
      <c r="L7" s="192" t="s">
        <v>135</v>
      </c>
      <c r="M7" s="192" t="s">
        <v>134</v>
      </c>
      <c r="N7" s="191" t="s">
        <v>133</v>
      </c>
      <c r="O7" s="191" t="s">
        <v>130</v>
      </c>
      <c r="P7" s="2"/>
      <c r="Q7" s="37"/>
    </row>
    <row r="8" spans="1:18">
      <c r="A8" s="86" t="str">
        <f>+'1.Estado Situación'!A9</f>
        <v xml:space="preserve">Caja, bancos </v>
      </c>
      <c r="B8" s="308">
        <f>+'1.Estado Situación'!C9</f>
        <v>149304921.47999999</v>
      </c>
      <c r="C8" s="308">
        <f>+'1.Estado Situación'!B9</f>
        <v>385891272.51999998</v>
      </c>
      <c r="D8" s="308">
        <f t="shared" ref="D8:D13" si="0">IF(B8&gt;C8,0,(B8-C8)*-1)</f>
        <v>236586351.03999999</v>
      </c>
      <c r="E8" s="145">
        <f t="shared" ref="E8:E13" si="1">IF(B8&gt;C8,(B8-C8),0)</f>
        <v>0</v>
      </c>
      <c r="G8" s="1" t="s">
        <v>142</v>
      </c>
      <c r="H8" s="295">
        <f>IF(F17&lt;0,0,F17)</f>
        <v>0</v>
      </c>
      <c r="I8" s="39" t="str">
        <f>IF(F17&lt;0,"",A17)</f>
        <v/>
      </c>
      <c r="J8" s="40">
        <f>+'9.Fuentes y empleos'!$H8/$H$31</f>
        <v>0</v>
      </c>
      <c r="K8" s="41">
        <f>+'9.Fuentes y empleos'!$J8</f>
        <v>0</v>
      </c>
      <c r="L8" s="41">
        <f>+'9.Fuentes y empleos'!$M8</f>
        <v>0</v>
      </c>
      <c r="M8" s="40">
        <f>+'9.Fuentes y empleos'!$O8/$O$31</f>
        <v>0</v>
      </c>
      <c r="N8" s="39" t="str">
        <f>IF(E42=0,"",A42)</f>
        <v/>
      </c>
      <c r="O8" s="295">
        <f>IF(E42="","",E42)</f>
        <v>0</v>
      </c>
      <c r="P8" s="3" t="s">
        <v>152</v>
      </c>
    </row>
    <row r="9" spans="1:18">
      <c r="A9" s="86" t="str">
        <f>+'1.Estado Situación'!A10</f>
        <v>Inversiones transitorias</v>
      </c>
      <c r="B9" s="308">
        <f>+'1.Estado Situación'!C10</f>
        <v>3694852.5333333332</v>
      </c>
      <c r="C9" s="308">
        <f>+'1.Estado Situación'!B10</f>
        <v>903223.29333333333</v>
      </c>
      <c r="D9" s="308">
        <f t="shared" si="0"/>
        <v>0</v>
      </c>
      <c r="E9" s="145">
        <f t="shared" si="1"/>
        <v>2791629.2399999998</v>
      </c>
      <c r="G9" s="1" t="s">
        <v>143</v>
      </c>
      <c r="H9" s="295">
        <f>IF(D18=0,0,D18)</f>
        <v>0</v>
      </c>
      <c r="I9" s="39" t="str">
        <f>IF(D18=0,"",A18)</f>
        <v/>
      </c>
      <c r="J9" s="40">
        <f>+'9.Fuentes y empleos'!$H9/$H$31</f>
        <v>0</v>
      </c>
      <c r="K9" s="41">
        <f>+K8+'9.Fuentes y empleos'!$J9</f>
        <v>0</v>
      </c>
      <c r="L9" s="41">
        <f>+L8+'9.Fuentes y empleos'!$M9</f>
        <v>0</v>
      </c>
      <c r="M9" s="40">
        <f>+'9.Fuentes y empleos'!$O9/$O$31</f>
        <v>0</v>
      </c>
      <c r="N9" s="39" t="s">
        <v>85</v>
      </c>
      <c r="O9" s="295">
        <f>+B48</f>
        <v>0</v>
      </c>
      <c r="P9" s="3" t="s">
        <v>163</v>
      </c>
    </row>
    <row r="10" spans="1:18">
      <c r="A10" s="86" t="str">
        <f>+'1.Estado Situación'!A11</f>
        <v>Cuentas por cobrar comerciales</v>
      </c>
      <c r="B10" s="308">
        <f>+'1.Estado Situación'!C11</f>
        <v>1531339660.2266667</v>
      </c>
      <c r="C10" s="308">
        <f>+'1.Estado Situación'!B11</f>
        <v>1252786094.5933335</v>
      </c>
      <c r="D10" s="308">
        <f t="shared" si="0"/>
        <v>0</v>
      </c>
      <c r="E10" s="145">
        <f t="shared" si="1"/>
        <v>278553565.63333321</v>
      </c>
      <c r="G10" s="1" t="s">
        <v>144</v>
      </c>
      <c r="H10" s="295">
        <f>IF(D13=0,0,D13)</f>
        <v>0</v>
      </c>
      <c r="I10" s="39" t="str">
        <f>IF(D13=0,"",A13)</f>
        <v/>
      </c>
      <c r="J10" s="40">
        <f>+'9.Fuentes y empleos'!$H10/$H$31</f>
        <v>0</v>
      </c>
      <c r="K10" s="41">
        <f>+K9+'9.Fuentes y empleos'!$J10</f>
        <v>0</v>
      </c>
      <c r="L10" s="41">
        <f>+L9+'9.Fuentes y empleos'!$M10</f>
        <v>0</v>
      </c>
      <c r="M10" s="40">
        <f>+'9.Fuentes y empleos'!$O10/$O$31</f>
        <v>0</v>
      </c>
      <c r="N10" s="39" t="str">
        <f>IF(E39=0,"",A39)</f>
        <v/>
      </c>
      <c r="O10" s="295">
        <f>IF(E39="","",E39)</f>
        <v>0</v>
      </c>
      <c r="P10" s="3" t="s">
        <v>164</v>
      </c>
    </row>
    <row r="11" spans="1:18">
      <c r="A11" s="24" t="str">
        <f>+'1.Estado Situación'!A12</f>
        <v>Cuentas por cobrar varias</v>
      </c>
      <c r="B11" s="308">
        <f>+'1.Estado Situación'!C12</f>
        <v>294488850.02000004</v>
      </c>
      <c r="C11" s="308">
        <f>+'1.Estado Situación'!B12</f>
        <v>286806686.93333334</v>
      </c>
      <c r="D11" s="308">
        <f t="shared" si="0"/>
        <v>0</v>
      </c>
      <c r="E11" s="145">
        <f t="shared" si="1"/>
        <v>7682163.0866667032</v>
      </c>
      <c r="G11" s="1" t="s">
        <v>145</v>
      </c>
      <c r="H11" s="295">
        <f>IF(D12=0,0,D12)</f>
        <v>570260530.50666642</v>
      </c>
      <c r="I11" s="39" t="str">
        <f>IF(D12=0,"",A12)</f>
        <v>Inventario</v>
      </c>
      <c r="J11" s="40">
        <f>+'9.Fuentes y empleos'!$H11/$H$31</f>
        <v>0.5902257978382941</v>
      </c>
      <c r="K11" s="41">
        <f>+K10+'9.Fuentes y empleos'!$J11</f>
        <v>0.5902257978382941</v>
      </c>
      <c r="L11" s="41">
        <f>+L10+'9.Fuentes y empleos'!$M11</f>
        <v>0</v>
      </c>
      <c r="M11" s="40">
        <f>+'9.Fuentes y empleos'!$O11/$O$31</f>
        <v>0</v>
      </c>
      <c r="N11" s="39" t="str">
        <f>IF(E40=0,"",A40)</f>
        <v/>
      </c>
      <c r="O11" s="295">
        <f>IF(E40="","",E40)</f>
        <v>0</v>
      </c>
      <c r="P11" s="3" t="s">
        <v>165</v>
      </c>
      <c r="Q11" s="42"/>
      <c r="R11" s="43"/>
    </row>
    <row r="12" spans="1:18">
      <c r="A12" s="24" t="str">
        <f>+'1.Estado Situación'!A13</f>
        <v>Inventario</v>
      </c>
      <c r="B12" s="145">
        <f>+'1.Estado Situación'!C13</f>
        <v>1223375514.4333334</v>
      </c>
      <c r="C12" s="145">
        <f>+'1.Estado Situación'!B13</f>
        <v>1793636044.9399998</v>
      </c>
      <c r="D12" s="145">
        <f t="shared" si="0"/>
        <v>570260530.50666642</v>
      </c>
      <c r="E12" s="145">
        <f t="shared" si="1"/>
        <v>0</v>
      </c>
      <c r="H12" s="295">
        <f>IF(D11=0,0,D11)</f>
        <v>0</v>
      </c>
      <c r="I12" s="39" t="str">
        <f>IF(D11=0,"",A11)</f>
        <v/>
      </c>
      <c r="J12" s="40">
        <f>+'9.Fuentes y empleos'!$H12/$H$31</f>
        <v>0</v>
      </c>
      <c r="K12" s="41">
        <f>+K11+'9.Fuentes y empleos'!$J12</f>
        <v>0.5902257978382941</v>
      </c>
      <c r="L12" s="41">
        <f>+L11+'9.Fuentes y empleos'!$M12</f>
        <v>0</v>
      </c>
      <c r="M12" s="40">
        <f>+'9.Fuentes y empleos'!$O12/$O$31</f>
        <v>0</v>
      </c>
      <c r="N12" s="39" t="str">
        <f>IF(E41=0,"",A41)</f>
        <v/>
      </c>
      <c r="O12" s="295">
        <f>IF(E41="","",E41)</f>
        <v>0</v>
      </c>
    </row>
    <row r="13" spans="1:18" ht="13.5" thickBot="1">
      <c r="A13" s="157" t="str">
        <f>+'1.Estado Situación'!A14</f>
        <v>Gastos diferidos</v>
      </c>
      <c r="B13" s="158">
        <f>+'1.Estado Situación'!C14</f>
        <v>27037152.099999998</v>
      </c>
      <c r="C13" s="158">
        <f>+'1.Estado Situación'!B14</f>
        <v>17865641.526666667</v>
      </c>
      <c r="D13" s="158">
        <f t="shared" si="0"/>
        <v>0</v>
      </c>
      <c r="E13" s="158">
        <f t="shared" si="1"/>
        <v>9171510.5733333305</v>
      </c>
      <c r="G13" s="1" t="s">
        <v>146</v>
      </c>
      <c r="H13" s="295">
        <f>IF(D10=0,0,D10)</f>
        <v>0</v>
      </c>
      <c r="I13" s="39" t="str">
        <f>IF(D10=0,"",A10)</f>
        <v/>
      </c>
      <c r="J13" s="40">
        <f>+'9.Fuentes y empleos'!$H13/$H$31</f>
        <v>0</v>
      </c>
      <c r="K13" s="41">
        <f>+K11+'9.Fuentes y empleos'!$J13</f>
        <v>0.5902257978382941</v>
      </c>
      <c r="L13" s="41">
        <f>+L12+'9.Fuentes y empleos'!$M13</f>
        <v>7.304351012658962E-2</v>
      </c>
      <c r="M13" s="40">
        <f>+'9.Fuentes y empleos'!$O13/$O$31</f>
        <v>7.304351012658962E-2</v>
      </c>
      <c r="N13" s="39" t="str">
        <f>IF(E33=0,"",A33)</f>
        <v>Préstamos por pagar largo plazo</v>
      </c>
      <c r="O13" s="295">
        <f>IF(E33="","",E33)</f>
        <v>70572704.52666676</v>
      </c>
      <c r="P13" s="3" t="s">
        <v>166</v>
      </c>
    </row>
    <row r="14" spans="1:18" ht="13.5" thickTop="1">
      <c r="A14" s="310" t="str">
        <f>+'1.Estado Situación'!A15</f>
        <v>Total activo corriente</v>
      </c>
      <c r="B14" s="311">
        <f>+'1.Estado Situación'!C15</f>
        <v>3229240950.7933335</v>
      </c>
      <c r="C14" s="311">
        <f>+'1.Estado Situación'!B15</f>
        <v>3737888963.8066669</v>
      </c>
      <c r="D14" s="311"/>
      <c r="E14" s="311"/>
      <c r="G14" s="1" t="s">
        <v>147</v>
      </c>
      <c r="H14" s="295">
        <f>IF(D9=0,0,D9)</f>
        <v>0</v>
      </c>
      <c r="I14" s="39" t="str">
        <f>IF(D9=0,"",A9)</f>
        <v/>
      </c>
      <c r="J14" s="40">
        <f>+'9.Fuentes y empleos'!$H14/$H$31</f>
        <v>0</v>
      </c>
      <c r="K14" s="41">
        <f>+K13+'9.Fuentes y empleos'!$J14</f>
        <v>0.5902257978382941</v>
      </c>
      <c r="L14" s="41">
        <f>+L13+'9.Fuentes y empleos'!$M14</f>
        <v>7.304351012658962E-2</v>
      </c>
      <c r="M14" s="40">
        <f>+'9.Fuentes y empleos'!$O14/$O$31</f>
        <v>0</v>
      </c>
      <c r="N14" s="39" t="str">
        <f>IF(E34=0,"",A34)</f>
        <v/>
      </c>
      <c r="O14" s="295">
        <f>IF(E34="","",E34)</f>
        <v>0</v>
      </c>
      <c r="P14" s="3" t="s">
        <v>153</v>
      </c>
    </row>
    <row r="15" spans="1:18">
      <c r="A15" s="24"/>
      <c r="B15" s="145"/>
      <c r="C15" s="145"/>
      <c r="D15" s="145"/>
      <c r="E15" s="145"/>
      <c r="G15" s="1" t="s">
        <v>148</v>
      </c>
      <c r="H15" s="295">
        <f>IF(D8=0,0,D8)</f>
        <v>236586351.03999999</v>
      </c>
      <c r="I15" s="39" t="str">
        <f>IF(D8=0,"",A8)</f>
        <v xml:space="preserve">Caja, bancos </v>
      </c>
      <c r="J15" s="40">
        <f>+'9.Fuentes y empleos'!$H15/$H$31</f>
        <v>0.24486942428957445</v>
      </c>
      <c r="K15" s="41">
        <f>+K14+'9.Fuentes y empleos'!$J15</f>
        <v>0.83509522212786857</v>
      </c>
      <c r="L15" s="41">
        <f>+L14+'9.Fuentes y empleos'!$M15</f>
        <v>9.9700603715775354E-2</v>
      </c>
      <c r="M15" s="40">
        <f>+'9.Fuentes y empleos'!$O15/$O$31</f>
        <v>2.6657093589185728E-2</v>
      </c>
      <c r="N15" s="39" t="str">
        <f>IF(E28=0,"",A28)</f>
        <v>Reserva contratos ahorro y crédito largo plazo</v>
      </c>
      <c r="O15" s="295">
        <f>IF(E28="","",E28)</f>
        <v>25755377.666666672</v>
      </c>
      <c r="P15" s="3" t="s">
        <v>162</v>
      </c>
    </row>
    <row r="16" spans="1:18">
      <c r="A16" s="310" t="str">
        <f>+'1.Estado Situación'!A17</f>
        <v>Activo no corriente</v>
      </c>
      <c r="B16" s="311"/>
      <c r="C16" s="311"/>
      <c r="D16" s="311"/>
      <c r="E16" s="145"/>
      <c r="G16" s="1" t="s">
        <v>149</v>
      </c>
      <c r="H16" s="295">
        <f>IF(D39=0,0,D39)</f>
        <v>0</v>
      </c>
      <c r="I16" s="39" t="str">
        <f>IF(D39=0,"",A39)</f>
        <v/>
      </c>
      <c r="J16" s="40">
        <f>+'9.Fuentes y empleos'!$H16/$H$31</f>
        <v>0</v>
      </c>
      <c r="K16" s="41">
        <f>+K15+'9.Fuentes y empleos'!$J16</f>
        <v>0.83509522212786857</v>
      </c>
      <c r="L16" s="41">
        <f>+L15+'9.Fuentes y empleos'!$M16</f>
        <v>9.9700603715775354E-2</v>
      </c>
      <c r="M16" s="40">
        <f>+'9.Fuentes y empleos'!$O16/$O$31</f>
        <v>0</v>
      </c>
      <c r="N16" s="39" t="str">
        <f>IF(E32=0,"",A32)</f>
        <v/>
      </c>
      <c r="O16" s="295">
        <f>IF(E32="","",E32)</f>
        <v>0</v>
      </c>
      <c r="P16" s="3" t="s">
        <v>173</v>
      </c>
    </row>
    <row r="17" spans="1:18">
      <c r="A17" s="24" t="str">
        <f>+'1.Estado Situación'!A18</f>
        <v>Propiedad planta y equipo</v>
      </c>
      <c r="B17" s="145">
        <f>+'1.Estado Situación'!C18</f>
        <v>2219500630.3933334</v>
      </c>
      <c r="C17" s="145">
        <f>+'1.Estado Situación'!B18</f>
        <v>2213537589.9533334</v>
      </c>
      <c r="D17" s="145">
        <f>IF(B17&gt;C17,0,(B17-C17)*-1)</f>
        <v>0</v>
      </c>
      <c r="E17" s="145">
        <f>IF(B17&gt;C17,(B17-C17),0)</f>
        <v>5963040.4400000572</v>
      </c>
      <c r="F17" s="193">
        <f>((+B17-C17)*-1)-B47</f>
        <v>-58111979.913333386</v>
      </c>
      <c r="G17" s="1" t="s">
        <v>150</v>
      </c>
      <c r="H17" s="295">
        <f>IF(D40=0,0,D40)</f>
        <v>8540064.5600000005</v>
      </c>
      <c r="I17" s="39" t="str">
        <f>IF(D40=0,"",A40)</f>
        <v>Reserva legal</v>
      </c>
      <c r="J17" s="40">
        <f>+'9.Fuentes y empleos'!$H17/$H$31</f>
        <v>8.8390589017936869E-3</v>
      </c>
      <c r="K17" s="41">
        <f>+K16+'9.Fuentes y empleos'!$J17</f>
        <v>0.84393428102966228</v>
      </c>
      <c r="L17" s="41">
        <f>+L16+'9.Fuentes y empleos'!$M17</f>
        <v>9.9700603715775354E-2</v>
      </c>
      <c r="M17" s="40">
        <f>+'9.Fuentes y empleos'!$O17/$O$31</f>
        <v>0</v>
      </c>
      <c r="N17" s="39" t="str">
        <f>IF(E27=0,"",A27)</f>
        <v/>
      </c>
      <c r="O17" s="295">
        <f>IF(E27="","",E27)</f>
        <v>0</v>
      </c>
      <c r="P17" s="3" t="s">
        <v>167</v>
      </c>
    </row>
    <row r="18" spans="1:18" ht="13.5" thickBot="1">
      <c r="A18" s="157" t="str">
        <f>+'1.Estado Situación'!A19</f>
        <v>Otros activos</v>
      </c>
      <c r="B18" s="158">
        <f>+'1.Estado Situación'!C19</f>
        <v>388333600.29333335</v>
      </c>
      <c r="C18" s="158">
        <f>+'1.Estado Situación'!B19</f>
        <v>260548568.38666669</v>
      </c>
      <c r="D18" s="158">
        <f>IF(B18&gt;C18,0,(B18-C18)*-1)</f>
        <v>0</v>
      </c>
      <c r="E18" s="158">
        <f>IF(B18&gt;C18,(B18-C18),0)</f>
        <v>127785031.90666667</v>
      </c>
      <c r="F18" s="31"/>
      <c r="G18" s="1" t="s">
        <v>151</v>
      </c>
      <c r="H18" s="295">
        <f>IF(D41=0,0,D41)</f>
        <v>0</v>
      </c>
      <c r="I18" s="39" t="str">
        <f>IF(D41=0,"",A41)</f>
        <v/>
      </c>
      <c r="J18" s="40">
        <f>+'9.Fuentes y empleos'!$H18/$H$31</f>
        <v>0</v>
      </c>
      <c r="K18" s="41">
        <f>+K17+'9.Fuentes y empleos'!$J18</f>
        <v>0.84393428102966228</v>
      </c>
      <c r="L18" s="41">
        <f>+L17+'9.Fuentes y empleos'!$M18</f>
        <v>0.16205713304827363</v>
      </c>
      <c r="M18" s="40">
        <f>+'9.Fuentes y empleos'!$O18/$O$31</f>
        <v>6.2356529332498259E-2</v>
      </c>
      <c r="N18" s="39" t="str">
        <f>IF(E26=0,"",A26)</f>
        <v>Otras cuentas por pagar</v>
      </c>
      <c r="O18" s="295">
        <f>IF(E26="","",E26)</f>
        <v>60247226.786666669</v>
      </c>
      <c r="P18" s="3" t="s">
        <v>174</v>
      </c>
    </row>
    <row r="19" spans="1:18" ht="14.25" thickTop="1" thickBot="1">
      <c r="A19" s="157" t="str">
        <f>+'1.Estado Situación'!A20</f>
        <v>Total activos no corrientes</v>
      </c>
      <c r="B19" s="158">
        <f>+'1.Estado Situación'!C20</f>
        <v>2607834230.686667</v>
      </c>
      <c r="C19" s="158">
        <f>+'1.Estado Situación'!B20</f>
        <v>2474086158.3399997</v>
      </c>
      <c r="D19" s="158"/>
      <c r="E19" s="158"/>
      <c r="H19" s="145">
        <f>+B47</f>
        <v>52148939.473333329</v>
      </c>
      <c r="I19" s="45" t="s">
        <v>90</v>
      </c>
      <c r="J19" s="40">
        <f>+'9.Fuentes y empleos'!$H19/$H$31</f>
        <v>5.3974714644413314E-2</v>
      </c>
      <c r="K19" s="41">
        <f>+K18+'9.Fuentes y empleos'!$J19</f>
        <v>0.89790899567407556</v>
      </c>
      <c r="L19" s="41">
        <f>+L18+'9.Fuentes y empleos'!$M19</f>
        <v>0.16511526976756183</v>
      </c>
      <c r="M19" s="40">
        <f>+'9.Fuentes y empleos'!$O19/$O$31</f>
        <v>3.0581367192882044E-3</v>
      </c>
      <c r="N19" s="45" t="str">
        <f>IF(E25=0,"",A25)</f>
        <v>Retenciones y aportes por pagar</v>
      </c>
      <c r="O19" s="145">
        <f>IF(E25="","",E25)</f>
        <v>2954690.6866666637</v>
      </c>
      <c r="P19" s="3" t="s">
        <v>175</v>
      </c>
    </row>
    <row r="20" spans="1:18" ht="13.5" thickTop="1">
      <c r="A20" s="310" t="str">
        <f>+'1.Estado Situación'!A21</f>
        <v>Total activos</v>
      </c>
      <c r="B20" s="311">
        <f>+'1.Estado Situación'!C21</f>
        <v>5837075181.4800005</v>
      </c>
      <c r="C20" s="311">
        <f>+'1.Estado Situación'!B21</f>
        <v>6211975122.1466665</v>
      </c>
      <c r="D20" s="311"/>
      <c r="E20" s="311"/>
      <c r="G20" s="1" t="s">
        <v>152</v>
      </c>
      <c r="H20" s="295">
        <f>IF(D42=0,0,D42)</f>
        <v>73269307.446666673</v>
      </c>
      <c r="I20" s="39" t="str">
        <f>IF(D42=0,"",A42)</f>
        <v>Utilidades</v>
      </c>
      <c r="J20" s="40">
        <f>+'9.Fuentes y empleos'!$H20/$H$31</f>
        <v>7.5834523224578232E-2</v>
      </c>
      <c r="K20" s="41">
        <f>+K19+'9.Fuentes y empleos'!$J20</f>
        <v>0.97374351889865385</v>
      </c>
      <c r="L20" s="41">
        <f>+L19+'9.Fuentes y empleos'!$M20</f>
        <v>0.16677187155895418</v>
      </c>
      <c r="M20" s="40">
        <f>+'9.Fuentes y empleos'!$O20/$O$31</f>
        <v>1.6566017913923498E-3</v>
      </c>
      <c r="N20" s="39" t="str">
        <f>IF(E24=0,"",A24)</f>
        <v>Impuestos por pagar</v>
      </c>
      <c r="O20" s="295">
        <f>IF(E24="","",E24)</f>
        <v>1600564.7666666657</v>
      </c>
      <c r="P20" s="3" t="s">
        <v>168</v>
      </c>
    </row>
    <row r="21" spans="1:18">
      <c r="A21" s="24"/>
      <c r="B21" s="145"/>
      <c r="C21" s="145"/>
      <c r="D21" s="145"/>
      <c r="E21" s="145"/>
      <c r="G21" s="1" t="s">
        <v>154</v>
      </c>
      <c r="H21" s="295">
        <f>IF(D28=0,0,D28)</f>
        <v>0</v>
      </c>
      <c r="I21" s="39" t="str">
        <f>IF(D28=0,"",A28)</f>
        <v/>
      </c>
      <c r="J21" s="40">
        <f>+'9.Fuentes y empleos'!$H21/$H$31</f>
        <v>0</v>
      </c>
      <c r="K21" s="41">
        <f>+K20+'9.Fuentes y empleos'!$J21</f>
        <v>0.97374351889865385</v>
      </c>
      <c r="L21" s="41">
        <f>+L20+'9.Fuentes y empleos'!$M21</f>
        <v>0.17931638618347681</v>
      </c>
      <c r="M21" s="40">
        <f>+'9.Fuentes y empleos'!$O21/$O$31</f>
        <v>1.2544514624522633E-2</v>
      </c>
      <c r="N21" s="39" t="str">
        <f>IF(E23=0,"",A23)</f>
        <v>Reserva contratos ahorro y crédito corto plazo</v>
      </c>
      <c r="O21" s="295">
        <f>IF(E23="","",E23)</f>
        <v>12120177.719999999</v>
      </c>
      <c r="P21" s="3" t="s">
        <v>169</v>
      </c>
    </row>
    <row r="22" spans="1:18">
      <c r="A22" s="24" t="str">
        <f>+'1.Estado Situación'!A23</f>
        <v>Cuentas por pagar</v>
      </c>
      <c r="B22" s="145">
        <f>+'1.Estado Situación'!C23</f>
        <v>1794018901.5266666</v>
      </c>
      <c r="C22" s="145">
        <f>+'1.Estado Situación'!B23</f>
        <v>2102845788.54</v>
      </c>
      <c r="D22" s="145">
        <f>IF(B22&lt;C22,0,(B22-C22))</f>
        <v>0</v>
      </c>
      <c r="E22" s="145">
        <f t="shared" ref="E22:E28" si="2">IF(B22&lt;C22,(B22-C22)*-1,0)</f>
        <v>308826887.01333332</v>
      </c>
      <c r="G22" s="1" t="s">
        <v>153</v>
      </c>
      <c r="H22" s="295">
        <f>IF(D33=0,0,D33)</f>
        <v>0</v>
      </c>
      <c r="I22" s="39" t="str">
        <f>IF(D33=0,"",A33)</f>
        <v/>
      </c>
      <c r="J22" s="40">
        <f>+'9.Fuentes y empleos'!$H22/$H$31</f>
        <v>0</v>
      </c>
      <c r="K22" s="41">
        <f>+K21+'9.Fuentes y empleos'!$J22</f>
        <v>0.97374351889865385</v>
      </c>
      <c r="L22" s="41">
        <f>+L21+'9.Fuentes y empleos'!$M22</f>
        <v>0.49895554413012766</v>
      </c>
      <c r="M22" s="40">
        <f>+'9.Fuentes y empleos'!$O22/$O$31</f>
        <v>0.31963915794665088</v>
      </c>
      <c r="N22" s="39" t="str">
        <f>IF(E22=0,"",A22)</f>
        <v>Cuentas por pagar</v>
      </c>
      <c r="O22" s="295">
        <f>IF(E22="","",E22)</f>
        <v>308826887.01333332</v>
      </c>
      <c r="P22" s="3" t="s">
        <v>158</v>
      </c>
      <c r="Q22" s="46"/>
    </row>
    <row r="23" spans="1:18">
      <c r="A23" s="24" t="str">
        <f>+'1.Estado Situación'!A24</f>
        <v>Reserva contratos ahorro y crédito corto plazo</v>
      </c>
      <c r="B23" s="145">
        <f>+'1.Estado Situación'!C24</f>
        <v>46714232.100000001</v>
      </c>
      <c r="C23" s="145">
        <f>+'1.Estado Situación'!B24</f>
        <v>58834409.82</v>
      </c>
      <c r="D23" s="145">
        <f t="shared" ref="D23:D28" si="3">IF(B23&lt;C23,0,(B23-C23))</f>
        <v>0</v>
      </c>
      <c r="E23" s="145">
        <f t="shared" si="2"/>
        <v>12120177.719999999</v>
      </c>
      <c r="G23" s="1" t="s">
        <v>162</v>
      </c>
      <c r="H23" s="295">
        <f>IF(D34=0,0,D34)</f>
        <v>0</v>
      </c>
      <c r="I23" s="39" t="str">
        <f>IF(D34=0,"",A34)</f>
        <v/>
      </c>
      <c r="J23" s="40">
        <f>+'9.Fuentes y empleos'!$H23/$H$31</f>
        <v>0</v>
      </c>
      <c r="K23" s="41">
        <f>+K22+'9.Fuentes y empleos'!$J23</f>
        <v>0.97374351889865385</v>
      </c>
      <c r="L23" s="41">
        <f>+L22+'9.Fuentes y empleos'!$M23</f>
        <v>0.55910206992568967</v>
      </c>
      <c r="M23" s="40">
        <f>+'9.Fuentes y empleos'!$O23/$O$31</f>
        <v>6.0146525795562032E-2</v>
      </c>
      <c r="N23" s="39" t="str">
        <f>IF(F17&lt;0,A17,"")</f>
        <v>Propiedad planta y equipo</v>
      </c>
      <c r="O23" s="295">
        <f>IF(F17&lt;0,-F17,0)</f>
        <v>58111979.913333386</v>
      </c>
      <c r="P23" s="3" t="s">
        <v>159</v>
      </c>
    </row>
    <row r="24" spans="1:18">
      <c r="A24" s="24" t="str">
        <f>+'1.Estado Situación'!A25</f>
        <v>Impuestos por pagar</v>
      </c>
      <c r="B24" s="145">
        <f>+'1.Estado Situación'!C25</f>
        <v>10811230.393333333</v>
      </c>
      <c r="C24" s="145">
        <f>+'1.Estado Situación'!B25</f>
        <v>12411795.159999998</v>
      </c>
      <c r="D24" s="145">
        <f t="shared" si="3"/>
        <v>0</v>
      </c>
      <c r="E24" s="145">
        <f t="shared" si="2"/>
        <v>1600564.7666666657</v>
      </c>
      <c r="G24" s="1" t="s">
        <v>161</v>
      </c>
      <c r="H24" s="47">
        <f>IF(D32=0,0,D32)</f>
        <v>24326518.899999857</v>
      </c>
      <c r="I24" s="39" t="str">
        <f>IF(D32=0,"",A32)</f>
        <v>Préstamos por pagar corto plazo</v>
      </c>
      <c r="J24" s="40">
        <f>+'9.Fuentes y empleos'!$H24/$H$31</f>
        <v>2.5178209359192023E-2</v>
      </c>
      <c r="K24" s="41">
        <f>+K23+'9.Fuentes y empleos'!$J24</f>
        <v>0.99892172825784586</v>
      </c>
      <c r="L24" s="41">
        <f>+L23+'9.Fuentes y empleos'!$M24</f>
        <v>0.69136095577544854</v>
      </c>
      <c r="M24" s="40">
        <f>+'9.Fuentes y empleos'!$O24/$O$31</f>
        <v>0.13225888584975892</v>
      </c>
      <c r="N24" s="39" t="str">
        <f>IF(E18=0,"",A18)</f>
        <v>Otros activos</v>
      </c>
      <c r="O24" s="295">
        <f>IF(E18="","",E18)</f>
        <v>127785031.90666667</v>
      </c>
      <c r="P24" s="3" t="s">
        <v>170</v>
      </c>
    </row>
    <row r="25" spans="1:18">
      <c r="A25" s="24" t="str">
        <f>+'1.Estado Situación'!A26</f>
        <v>Retenciones y aportes por pagar</v>
      </c>
      <c r="B25" s="145">
        <f>+'1.Estado Situación'!C26</f>
        <v>19564510.300000001</v>
      </c>
      <c r="C25" s="145">
        <f>+'1.Estado Situación'!B26</f>
        <v>22519200.986666664</v>
      </c>
      <c r="D25" s="145">
        <f t="shared" si="3"/>
        <v>0</v>
      </c>
      <c r="E25" s="145">
        <f t="shared" si="2"/>
        <v>2954690.6866666637</v>
      </c>
      <c r="G25" s="1" t="s">
        <v>160</v>
      </c>
      <c r="H25" s="47">
        <f>IF(D27=0,0,D27)</f>
        <v>1041797.5933333337</v>
      </c>
      <c r="I25" s="39" t="str">
        <f>IF(D27=0,"",A27)</f>
        <v>Provisiones por pagar</v>
      </c>
      <c r="J25" s="40">
        <f>+'9.Fuentes y empleos'!$H25/$H$31</f>
        <v>1.0782717421541649E-3</v>
      </c>
      <c r="K25" s="41">
        <f>+K24+'9.Fuentes y empleos'!$J25</f>
        <v>1</v>
      </c>
      <c r="L25" s="41">
        <f>+L24+'9.Fuentes y empleos'!$M25</f>
        <v>0.70085356810953103</v>
      </c>
      <c r="M25" s="40">
        <f>+'9.Fuentes y empleos'!$O25/$O$31</f>
        <v>9.4926123340825022E-3</v>
      </c>
      <c r="N25" s="39" t="str">
        <f>IF(E13=0,"",A13)</f>
        <v>Gastos diferidos</v>
      </c>
      <c r="O25" s="295">
        <f>IF(E13="","",E13)</f>
        <v>9171510.5733333305</v>
      </c>
      <c r="P25" s="3" t="s">
        <v>171</v>
      </c>
    </row>
    <row r="26" spans="1:18">
      <c r="A26" s="24" t="str">
        <f>+'1.Estado Situación'!A27</f>
        <v>Otras cuentas por pagar</v>
      </c>
      <c r="B26" s="145">
        <f>+'1.Estado Situación'!C27</f>
        <v>9808092.9133333322</v>
      </c>
      <c r="C26" s="145">
        <f>+'1.Estado Situación'!B27</f>
        <v>70055319.700000003</v>
      </c>
      <c r="D26" s="145">
        <f t="shared" si="3"/>
        <v>0</v>
      </c>
      <c r="E26" s="145">
        <f t="shared" si="2"/>
        <v>60247226.786666669</v>
      </c>
      <c r="G26" s="1" t="s">
        <v>155</v>
      </c>
      <c r="H26" s="47">
        <f>IF(D26=0,0,D26)</f>
        <v>0</v>
      </c>
      <c r="I26" s="39" t="str">
        <f>IF(D26=0,"",A26)</f>
        <v/>
      </c>
      <c r="J26" s="40">
        <f>+'9.Fuentes y empleos'!$H26/$H$31</f>
        <v>0</v>
      </c>
      <c r="K26" s="41">
        <f>+K25+'9.Fuentes y empleos'!$J26</f>
        <v>1</v>
      </c>
      <c r="L26" s="41">
        <f>+L25+'9.Fuentes y empleos'!$M26</f>
        <v>0.70085356810953103</v>
      </c>
      <c r="M26" s="40">
        <f>+'9.Fuentes y empleos'!$O26/$O$31</f>
        <v>0</v>
      </c>
      <c r="N26" s="39" t="str">
        <f>IF(E12=0,"",A12)</f>
        <v/>
      </c>
      <c r="O26" s="295">
        <f>IF(E12="","",E12)</f>
        <v>0</v>
      </c>
      <c r="P26" s="3" t="s">
        <v>144</v>
      </c>
    </row>
    <row r="27" spans="1:18">
      <c r="A27" s="24" t="str">
        <f>+'1.Estado Situación'!A28</f>
        <v>Provisiones por pagar</v>
      </c>
      <c r="B27" s="145">
        <f>+'1.Estado Situación'!C28</f>
        <v>70052906.833333328</v>
      </c>
      <c r="C27" s="145">
        <f>+'1.Estado Situación'!B28</f>
        <v>69011109.239999995</v>
      </c>
      <c r="D27" s="145">
        <f t="shared" si="3"/>
        <v>1041797.5933333337</v>
      </c>
      <c r="E27" s="145">
        <f t="shared" si="2"/>
        <v>0</v>
      </c>
      <c r="G27" s="1" t="s">
        <v>156</v>
      </c>
      <c r="H27" s="47">
        <f>IF(D25=0,0,D25)</f>
        <v>0</v>
      </c>
      <c r="I27" s="39" t="str">
        <f>IF(D25=0,"",A25)</f>
        <v/>
      </c>
      <c r="J27" s="40">
        <f>+'9.Fuentes y empleos'!$H27/$H$31</f>
        <v>0</v>
      </c>
      <c r="K27" s="41">
        <f>+K26+'9.Fuentes y empleos'!$J27</f>
        <v>1</v>
      </c>
      <c r="L27" s="41">
        <f>+L26+'9.Fuentes y empleos'!$M27</f>
        <v>0.7088046897362078</v>
      </c>
      <c r="M27" s="40">
        <f>+'9.Fuentes y empleos'!$O27/$O$31</f>
        <v>7.9511216266768079E-3</v>
      </c>
      <c r="N27" s="39" t="str">
        <f>IF(E11=0,"",A11)</f>
        <v>Cuentas por cobrar varias</v>
      </c>
      <c r="O27" s="295">
        <f>IF(E11="","",E11)</f>
        <v>7682163.0866667032</v>
      </c>
      <c r="P27" s="3" t="s">
        <v>145</v>
      </c>
    </row>
    <row r="28" spans="1:18" ht="13.5" thickBot="1">
      <c r="A28" s="157" t="str">
        <f>+'1.Estado Situación'!A29</f>
        <v>Reserva contratos ahorro y crédito largo plazo</v>
      </c>
      <c r="B28" s="158">
        <f>+'1.Estado Situación'!C29</f>
        <v>99267743.206666663</v>
      </c>
      <c r="C28" s="158">
        <f>+'1.Estado Situación'!B29</f>
        <v>125023120.87333333</v>
      </c>
      <c r="D28" s="158">
        <f t="shared" si="3"/>
        <v>0</v>
      </c>
      <c r="E28" s="158">
        <f t="shared" si="2"/>
        <v>25755377.666666672</v>
      </c>
      <c r="G28" s="1" t="s">
        <v>157</v>
      </c>
      <c r="H28" s="47">
        <f>IF(D24=0,0,D24)</f>
        <v>0</v>
      </c>
      <c r="I28" s="39" t="str">
        <f>IF(D24=0,"",A24)</f>
        <v/>
      </c>
      <c r="J28" s="40">
        <f>+'9.Fuentes y empleos'!$H28/$H$31</f>
        <v>0</v>
      </c>
      <c r="K28" s="41">
        <f>+K27+'9.Fuentes y empleos'!$J28</f>
        <v>1</v>
      </c>
      <c r="L28" s="41">
        <f>+L27+'9.Fuentes y empleos'!$M28</f>
        <v>0.99711063363620156</v>
      </c>
      <c r="M28" s="40">
        <f>+'9.Fuentes y empleos'!$O28/$O$31</f>
        <v>0.28830594389999376</v>
      </c>
      <c r="N28" s="39" t="str">
        <f>IF(E10=0,"",A10)</f>
        <v>Cuentas por cobrar comerciales</v>
      </c>
      <c r="O28" s="295">
        <f>IF(E10="","",E10)</f>
        <v>278553565.63333321</v>
      </c>
      <c r="P28" s="3" t="s">
        <v>146</v>
      </c>
    </row>
    <row r="29" spans="1:18" ht="14.25" thickTop="1" thickBot="1">
      <c r="A29" s="157" t="str">
        <f>+'1.Estado Situación'!A30</f>
        <v>Pasivos sin costo</v>
      </c>
      <c r="B29" s="158">
        <f>+'1.Estado Situación'!C30</f>
        <v>2050237617.2733333</v>
      </c>
      <c r="C29" s="158">
        <f>+'1.Estado Situación'!B30</f>
        <v>2460700744.3200002</v>
      </c>
      <c r="D29" s="158"/>
      <c r="E29" s="158"/>
      <c r="G29" s="1" t="s">
        <v>158</v>
      </c>
      <c r="H29" s="47">
        <f>IF(D23=0,0,D23)</f>
        <v>0</v>
      </c>
      <c r="I29" s="39" t="str">
        <f>IF(D23=0,"",A23)</f>
        <v/>
      </c>
      <c r="J29" s="40">
        <f>+'9.Fuentes y empleos'!$H29/$H$31</f>
        <v>0</v>
      </c>
      <c r="K29" s="41">
        <f>+K28+'9.Fuentes y empleos'!$J29</f>
        <v>1</v>
      </c>
      <c r="L29" s="41">
        <f>+L28+'9.Fuentes y empleos'!$M29</f>
        <v>0.99999999999999978</v>
      </c>
      <c r="M29" s="40">
        <f>+'9.Fuentes y empleos'!$O29/$O$31</f>
        <v>2.8893663637982532E-3</v>
      </c>
      <c r="N29" s="39" t="str">
        <f>IF(E9=0,"",A9)</f>
        <v>Inversiones transitorias</v>
      </c>
      <c r="O29" s="295">
        <f>IF(E9="","",E9)</f>
        <v>2791629.2399999998</v>
      </c>
      <c r="P29" s="3" t="s">
        <v>172</v>
      </c>
      <c r="Q29" s="48"/>
      <c r="R29" s="49"/>
    </row>
    <row r="30" spans="1:18" ht="14.25" thickTop="1" thickBot="1">
      <c r="A30" s="310" t="str">
        <f>+'1.Estado Situación'!A31</f>
        <v>Activo neto</v>
      </c>
      <c r="B30" s="311">
        <f>+'1.Estado Situación'!C31</f>
        <v>3786837564.2066674</v>
      </c>
      <c r="C30" s="311">
        <f>+'1.Estado Situación'!B31</f>
        <v>3751274377.8266664</v>
      </c>
      <c r="D30" s="311"/>
      <c r="E30" s="145"/>
      <c r="G30" s="1" t="s">
        <v>159</v>
      </c>
      <c r="H30" s="296">
        <f>IF(D22=0,0,D22)</f>
        <v>0</v>
      </c>
      <c r="I30" s="195" t="str">
        <f>IF(D22=0,"",A22)</f>
        <v/>
      </c>
      <c r="J30" s="196">
        <f>+'9.Fuentes y empleos'!$H30/$H$31</f>
        <v>0</v>
      </c>
      <c r="K30" s="197">
        <f>+K29+'9.Fuentes y empleos'!$J30</f>
        <v>1</v>
      </c>
      <c r="L30" s="196">
        <f>+L29+'9.Fuentes y empleos'!$M30</f>
        <v>0.99999999999999978</v>
      </c>
      <c r="M30" s="197">
        <f>+'9.Fuentes y empleos'!$O30/$O$31</f>
        <v>0</v>
      </c>
      <c r="N30" s="195" t="str">
        <f>IF(E8=0,"",A8)</f>
        <v/>
      </c>
      <c r="O30" s="296">
        <f>IF(E8="","",E8)</f>
        <v>0</v>
      </c>
      <c r="P30" s="3" t="s">
        <v>148</v>
      </c>
    </row>
    <row r="31" spans="1:18" ht="13.5" thickTop="1">
      <c r="A31" s="24"/>
      <c r="B31" s="145"/>
      <c r="C31" s="145"/>
      <c r="D31" s="145"/>
      <c r="E31" s="145"/>
      <c r="H31" s="297">
        <f>SUBTOTAL(109,H7:H30)</f>
        <v>966173509.51999962</v>
      </c>
      <c r="I31" s="298" t="s">
        <v>136</v>
      </c>
      <c r="J31" s="299">
        <f>SUBTOTAL(109,J7:J30)</f>
        <v>1</v>
      </c>
      <c r="K31" s="300"/>
      <c r="L31" s="300"/>
      <c r="M31" s="299">
        <f>SUBTOTAL(109,M7:M30)</f>
        <v>0.99999999999999978</v>
      </c>
      <c r="N31" s="301" t="s">
        <v>137</v>
      </c>
      <c r="O31" s="297">
        <f>SUBTOTAL(109,O7:O30)</f>
        <v>966173509.5200001</v>
      </c>
    </row>
    <row r="32" spans="1:18">
      <c r="A32" s="24" t="str">
        <f>+'1.Estado Situación'!A33</f>
        <v>Préstamos por pagar corto plazo</v>
      </c>
      <c r="B32" s="145">
        <f>+'1.Estado Situación'!C33</f>
        <v>1195345549.8999999</v>
      </c>
      <c r="C32" s="145">
        <f>+'1.Estado Situación'!B33</f>
        <v>1171019031</v>
      </c>
      <c r="D32" s="145">
        <f>IF(B32&lt;C32,0,(B32-C32))</f>
        <v>24326518.899999857</v>
      </c>
      <c r="E32" s="145">
        <f>IF(B32&lt;C32,(B32-C32)*-1,0)</f>
        <v>0</v>
      </c>
      <c r="H32" s="50">
        <f>+H31-O31</f>
        <v>0</v>
      </c>
      <c r="I32" s="39" t="str">
        <f>IF(D47="","",A47)</f>
        <v/>
      </c>
      <c r="J32" s="40"/>
      <c r="K32" s="41"/>
      <c r="L32" s="41"/>
      <c r="M32" s="40"/>
      <c r="N32" s="51"/>
      <c r="O32" s="52"/>
    </row>
    <row r="33" spans="1:15">
      <c r="A33" s="24" t="str">
        <f>+'1.Estado Situación'!A34</f>
        <v>Préstamos por pagar largo plazo</v>
      </c>
      <c r="B33" s="145">
        <f>+'1.Estado Situación'!C34</f>
        <v>490189443.28666663</v>
      </c>
      <c r="C33" s="145">
        <f>+'1.Estado Situación'!B34</f>
        <v>560762147.81333339</v>
      </c>
      <c r="D33" s="145">
        <f>IF(B33&lt;C33,0,(B33-C33))</f>
        <v>0</v>
      </c>
      <c r="E33" s="145">
        <f>IF(B33&lt;C33,(B33-C33)*-1,0)</f>
        <v>70572704.52666676</v>
      </c>
      <c r="H33" s="45"/>
      <c r="J33" s="40"/>
      <c r="K33" s="41"/>
      <c r="L33" s="41"/>
      <c r="M33" s="40"/>
      <c r="N33" s="51"/>
      <c r="O33" s="52"/>
    </row>
    <row r="34" spans="1:15" ht="13.5" thickBot="1">
      <c r="A34" s="157" t="str">
        <f>+'1.Estado Situación'!A35</f>
        <v>Hipotecas por pagar</v>
      </c>
      <c r="B34" s="158">
        <f>+'1.Estado Situación'!C35</f>
        <v>0</v>
      </c>
      <c r="C34" s="158">
        <f>+'1.Estado Situación'!B35</f>
        <v>0</v>
      </c>
      <c r="D34" s="158">
        <f>IF(B34&lt;C34,0,(B34-C34))</f>
        <v>0</v>
      </c>
      <c r="E34" s="158">
        <f>IF(B34&lt;C34,(B34-C34)*-1,0)</f>
        <v>0</v>
      </c>
      <c r="H34" s="45"/>
      <c r="J34" s="40"/>
      <c r="K34" s="41"/>
      <c r="L34" s="41"/>
      <c r="M34" s="40"/>
      <c r="N34" s="51"/>
      <c r="O34" s="52"/>
    </row>
    <row r="35" spans="1:15" ht="14.25" thickTop="1" thickBot="1">
      <c r="A35" s="157" t="str">
        <f>+'1.Estado Situación'!A36</f>
        <v>Pasivo con costo</v>
      </c>
      <c r="B35" s="158">
        <f>+'1.Estado Situación'!C36</f>
        <v>1685534993.1866665</v>
      </c>
      <c r="C35" s="158">
        <f>+'1.Estado Situación'!B36</f>
        <v>1731781178.8133335</v>
      </c>
      <c r="D35" s="158"/>
      <c r="E35" s="158"/>
      <c r="H35" s="45"/>
      <c r="I35" s="534" t="s">
        <v>138</v>
      </c>
      <c r="J35" s="534"/>
      <c r="K35" s="534"/>
      <c r="L35" s="534"/>
      <c r="M35" s="534"/>
      <c r="N35" s="534"/>
      <c r="O35" s="52"/>
    </row>
    <row r="36" spans="1:15" ht="13.5" thickTop="1">
      <c r="A36" s="53" t="str">
        <f>+'1.Estado Situación'!A37</f>
        <v>Total pasivo</v>
      </c>
      <c r="B36" s="311">
        <f>+'1.Estado Situación'!C37</f>
        <v>3735772610.4599996</v>
      </c>
      <c r="C36" s="311">
        <f>+'1.Estado Situación'!B37</f>
        <v>4192481923.1333337</v>
      </c>
      <c r="D36" s="311"/>
      <c r="E36" s="145"/>
      <c r="H36" s="45"/>
      <c r="I36" s="55" t="s">
        <v>86</v>
      </c>
      <c r="J36" s="56"/>
      <c r="K36" s="41">
        <f>+K23</f>
        <v>0.97374351889865385</v>
      </c>
      <c r="L36" s="41">
        <f>+L25</f>
        <v>0.70085356810953103</v>
      </c>
      <c r="M36" s="55"/>
      <c r="N36" s="55" t="s">
        <v>139</v>
      </c>
      <c r="O36" s="52"/>
    </row>
    <row r="37" spans="1:15">
      <c r="A37" s="54"/>
      <c r="B37" s="145"/>
      <c r="C37" s="145"/>
      <c r="D37" s="145"/>
      <c r="E37" s="145"/>
      <c r="H37" s="45"/>
      <c r="I37" s="55" t="s">
        <v>87</v>
      </c>
      <c r="J37" s="56"/>
      <c r="K37" s="41">
        <f>1-K36</f>
        <v>2.6256481101346152E-2</v>
      </c>
      <c r="L37" s="41">
        <f>1-L36</f>
        <v>0.29914643189046897</v>
      </c>
      <c r="M37" s="55"/>
      <c r="N37" s="55" t="s">
        <v>88</v>
      </c>
      <c r="O37" s="52"/>
    </row>
    <row r="38" spans="1:15">
      <c r="A38" s="310" t="str">
        <f>+'1.Estado Situación'!A39</f>
        <v>Patrimonio</v>
      </c>
      <c r="B38" s="311"/>
      <c r="C38" s="311"/>
      <c r="D38" s="311"/>
      <c r="E38" s="145"/>
      <c r="H38" s="45"/>
      <c r="I38" s="57" t="s">
        <v>89</v>
      </c>
      <c r="J38" s="58"/>
      <c r="K38" s="59">
        <v>1</v>
      </c>
      <c r="L38" s="59">
        <v>1</v>
      </c>
      <c r="M38" s="60"/>
      <c r="N38" s="57" t="s">
        <v>89</v>
      </c>
      <c r="O38" s="52"/>
    </row>
    <row r="39" spans="1:15">
      <c r="A39" s="24" t="str">
        <f>+'1.Estado Situación'!A40</f>
        <v>Capital acciones</v>
      </c>
      <c r="B39" s="145">
        <f>+'1.Estado Situación'!C40</f>
        <v>1182866666.6666667</v>
      </c>
      <c r="C39" s="145">
        <f>+'1.Estado Situación'!B40</f>
        <v>1182866666.6666667</v>
      </c>
      <c r="D39" s="145">
        <f>IF(B39&lt;C39,0,(B39-C39))</f>
        <v>0</v>
      </c>
      <c r="E39" s="145">
        <f>IF(B39&lt;C39,(B39-C39)*-1,0)</f>
        <v>0</v>
      </c>
      <c r="H39" s="52"/>
      <c r="I39" s="39"/>
      <c r="J39" s="40"/>
      <c r="K39" s="41"/>
      <c r="L39" s="41"/>
      <c r="M39" s="40"/>
      <c r="N39" s="51"/>
      <c r="O39" s="52"/>
    </row>
    <row r="40" spans="1:15" ht="15.75">
      <c r="A40" s="24" t="str">
        <f>+'1.Estado Situación'!A41</f>
        <v>Reserva legal</v>
      </c>
      <c r="B40" s="145">
        <f>+'1.Estado Situación'!C41</f>
        <v>19185853.593333334</v>
      </c>
      <c r="C40" s="145">
        <f>+'1.Estado Situación'!B41</f>
        <v>10645789.033333333</v>
      </c>
      <c r="D40" s="145">
        <f>IF(B40&lt;C40,0,(B40-C40))</f>
        <v>8540064.5600000005</v>
      </c>
      <c r="E40" s="145">
        <f>IF(B40&lt;C40,(B40-C40)*-1,0)</f>
        <v>0</v>
      </c>
      <c r="H40" s="52"/>
      <c r="I40" s="61" t="s">
        <v>117</v>
      </c>
      <c r="J40" s="40"/>
      <c r="K40" s="41"/>
      <c r="L40" s="41"/>
      <c r="M40" s="40"/>
      <c r="N40" s="51"/>
      <c r="O40" s="52"/>
    </row>
    <row r="41" spans="1:15" ht="15">
      <c r="A41" s="24" t="str">
        <f>+'1.Estado Situación'!A42</f>
        <v xml:space="preserve">Superavti por revaluación </v>
      </c>
      <c r="B41" s="145">
        <f>+'1.Estado Situación'!C42</f>
        <v>730555206.85333335</v>
      </c>
      <c r="C41" s="145">
        <f>+'1.Estado Situación'!B42</f>
        <v>730555206.85333335</v>
      </c>
      <c r="D41" s="145">
        <f>IF(B41&lt;C41,0,(B41-C41))</f>
        <v>0</v>
      </c>
      <c r="E41" s="145">
        <f>IF(B41&lt;C41,(B41-C41)*-1,0)</f>
        <v>0</v>
      </c>
      <c r="H41" s="52"/>
      <c r="I41" s="62" t="str">
        <f>IF(K36&gt;L36,"Sí existe equilibrio, porque las fuentes menos exigibles financian (superan) los empleos menos líquidos.","No existe equilibrio, porque las fuentes menos exigibles no están financiando (superan) los empleos menos líquidos.")</f>
        <v>Sí existe equilibrio, porque las fuentes menos exigibles financian (superan) los empleos menos líquidos.</v>
      </c>
      <c r="J41" s="40"/>
      <c r="K41" s="41"/>
      <c r="L41" s="41"/>
      <c r="M41" s="40"/>
      <c r="N41" s="51"/>
      <c r="O41" s="52"/>
    </row>
    <row r="42" spans="1:15" ht="13.5" thickBot="1">
      <c r="A42" s="157" t="str">
        <f>+'1.Estado Situación'!A43</f>
        <v>Utilidades</v>
      </c>
      <c r="B42" s="158">
        <f>+'1.Estado Situación'!C43</f>
        <v>168694843.90666667</v>
      </c>
      <c r="C42" s="158">
        <f>+'1.Estado Situación'!B43</f>
        <v>95425536.459999993</v>
      </c>
      <c r="D42" s="158">
        <f>IF(B42&lt;C42,0,(B42-C42))</f>
        <v>73269307.446666673</v>
      </c>
      <c r="E42" s="158">
        <f>IF(B42&lt;C42,(B42-C42)*-1,0)</f>
        <v>0</v>
      </c>
      <c r="H42" s="52"/>
      <c r="I42" s="39"/>
      <c r="J42" s="40"/>
      <c r="K42" s="41"/>
      <c r="L42" s="41"/>
      <c r="M42" s="40"/>
      <c r="N42" s="51"/>
      <c r="O42" s="52"/>
    </row>
    <row r="43" spans="1:15" ht="14.25" thickTop="1" thickBot="1">
      <c r="A43" s="157" t="str">
        <f>+'1.Estado Situación'!A44</f>
        <v>Total patrimonio</v>
      </c>
      <c r="B43" s="158">
        <f>+'1.Estado Situación'!C44</f>
        <v>2101302571.0200002</v>
      </c>
      <c r="C43" s="158">
        <f>+'1.Estado Situación'!B44</f>
        <v>2019493199.0133333</v>
      </c>
      <c r="D43" s="158"/>
      <c r="E43" s="158"/>
      <c r="H43" s="63"/>
      <c r="I43" s="64"/>
      <c r="J43" s="65"/>
      <c r="K43" s="66"/>
      <c r="L43" s="66"/>
      <c r="M43" s="66"/>
      <c r="N43" s="67"/>
      <c r="O43" s="68"/>
    </row>
    <row r="44" spans="1:15" ht="13.5" thickTop="1">
      <c r="A44" s="310" t="str">
        <f>+'1.Estado Situación'!A45</f>
        <v>Total pasivo y patrimonio</v>
      </c>
      <c r="B44" s="311">
        <f>+'1.Estado Situación'!C45</f>
        <v>3786837564.2066665</v>
      </c>
      <c r="C44" s="311">
        <f>+'1.Estado Situación'!B45</f>
        <v>3751274377.8266664</v>
      </c>
      <c r="D44" s="311"/>
      <c r="E44" s="145"/>
    </row>
    <row r="45" spans="1:15">
      <c r="A45" s="24"/>
      <c r="B45" s="145">
        <f>+B44-B30</f>
        <v>0</v>
      </c>
      <c r="C45" s="145">
        <f>+C44-C30</f>
        <v>0</v>
      </c>
      <c r="D45" s="145">
        <f>SUBTOTAL(109,D6:D44)</f>
        <v>914024570.04666626</v>
      </c>
      <c r="E45" s="145">
        <f>IF(C45&gt;D45,0,(C45-D45)*-1)</f>
        <v>914024570.04666626</v>
      </c>
      <c r="F45" s="31"/>
    </row>
    <row r="47" spans="1:15">
      <c r="A47" s="15" t="s">
        <v>90</v>
      </c>
      <c r="B47" s="32">
        <f>+'2.Estado Resultados'!C25</f>
        <v>52148939.473333329</v>
      </c>
    </row>
    <row r="48" spans="1:15">
      <c r="A48" s="15" t="s">
        <v>85</v>
      </c>
      <c r="B48" s="32">
        <v>0</v>
      </c>
    </row>
    <row r="52" spans="1:16">
      <c r="H52" s="20" t="s">
        <v>0</v>
      </c>
      <c r="I52" s="35"/>
      <c r="J52" s="35"/>
      <c r="K52" s="35"/>
      <c r="L52" s="35"/>
      <c r="M52" s="35"/>
      <c r="N52" s="35"/>
      <c r="O52" s="35"/>
    </row>
    <row r="53" spans="1:16" ht="15">
      <c r="A53"/>
      <c r="B53"/>
      <c r="C53"/>
      <c r="D53"/>
      <c r="E53"/>
      <c r="H53" s="36" t="s">
        <v>132</v>
      </c>
      <c r="I53" s="36"/>
      <c r="J53" s="36"/>
      <c r="K53" s="36"/>
      <c r="L53" s="36"/>
      <c r="M53" s="36"/>
      <c r="N53" s="36"/>
      <c r="O53" s="36"/>
    </row>
    <row r="54" spans="1:16">
      <c r="A54" s="291"/>
      <c r="B54" s="292">
        <v>40451</v>
      </c>
      <c r="C54" s="292">
        <v>40086</v>
      </c>
      <c r="D54" s="293" t="s">
        <v>140</v>
      </c>
      <c r="E54" s="294" t="s">
        <v>141</v>
      </c>
      <c r="H54" s="535" t="s">
        <v>140</v>
      </c>
      <c r="I54" s="535"/>
      <c r="J54" s="535"/>
      <c r="K54" s="535"/>
      <c r="L54" s="535" t="s">
        <v>141</v>
      </c>
      <c r="M54" s="535"/>
      <c r="N54" s="535"/>
      <c r="O54" s="535"/>
    </row>
    <row r="55" spans="1:16">
      <c r="A55" s="306" t="str">
        <f>+'1.Estado Situación'!A8</f>
        <v>Activo corriente</v>
      </c>
      <c r="B55" s="307"/>
      <c r="C55" s="307"/>
      <c r="D55" s="309"/>
      <c r="E55" s="307"/>
      <c r="H55" s="191" t="s">
        <v>130</v>
      </c>
      <c r="I55" s="192" t="s">
        <v>133</v>
      </c>
      <c r="J55" s="192" t="s">
        <v>134</v>
      </c>
      <c r="K55" s="191" t="s">
        <v>135</v>
      </c>
      <c r="L55" s="192" t="s">
        <v>135</v>
      </c>
      <c r="M55" s="192" t="s">
        <v>134</v>
      </c>
      <c r="N55" s="191" t="s">
        <v>133</v>
      </c>
      <c r="O55" s="191" t="s">
        <v>130</v>
      </c>
    </row>
    <row r="56" spans="1:16">
      <c r="A56" s="86" t="str">
        <f>+'1.Estado Situación'!A9</f>
        <v xml:space="preserve">Caja, bancos </v>
      </c>
      <c r="B56" s="308">
        <f>+'1.Estado Situación'!D9</f>
        <v>115380231.62666667</v>
      </c>
      <c r="C56" s="308">
        <f>+'1.Estado Situación'!C9</f>
        <v>149304921.47999999</v>
      </c>
      <c r="D56" s="308">
        <f>IF(B56&gt;C56,0,(B56-C56)*-1)</f>
        <v>33924689.853333324</v>
      </c>
      <c r="E56" s="145">
        <f t="shared" ref="E56:E61" si="4">IF(B56&gt;C56,(B56-C56),0)</f>
        <v>0</v>
      </c>
      <c r="G56" s="1" t="s">
        <v>142</v>
      </c>
      <c r="H56" s="38">
        <f>IF(F65&lt;0,0,F65)</f>
        <v>0</v>
      </c>
      <c r="I56" s="39" t="str">
        <f>IF(F65&lt;0,"",A65)</f>
        <v/>
      </c>
      <c r="J56" s="40">
        <f>IF(Table35[[#This Row],[Column1]]="",0,+H56/$H$79)</f>
        <v>0</v>
      </c>
      <c r="K56" s="41">
        <f>+Table35[[#This Row],[Column3]]</f>
        <v>0</v>
      </c>
      <c r="L56" s="41">
        <f>+Table35[[#This Row],[Column6]]</f>
        <v>0</v>
      </c>
      <c r="M56" s="40">
        <f>IF(Table35[[#This Row],[Column8]]="",0,Table35[[#This Row],[Column8]]/$O$79)</f>
        <v>0</v>
      </c>
      <c r="N56" s="39" t="str">
        <f>IF(E90=0,"",A90)</f>
        <v/>
      </c>
      <c r="O56" s="38">
        <f>IF(E90="","",E90)</f>
        <v>0</v>
      </c>
      <c r="P56" s="3" t="s">
        <v>152</v>
      </c>
    </row>
    <row r="57" spans="1:16">
      <c r="A57" s="86" t="str">
        <f>+'1.Estado Situación'!A10</f>
        <v>Inversiones transitorias</v>
      </c>
      <c r="B57" s="308">
        <f>+'1.Estado Situación'!D10</f>
        <v>4020141.9333333336</v>
      </c>
      <c r="C57" s="308">
        <f>+'1.Estado Situación'!C10</f>
        <v>3694852.5333333332</v>
      </c>
      <c r="D57" s="308">
        <f>IF(B57&gt;C57,0,(B57-C57)*-1)</f>
        <v>0</v>
      </c>
      <c r="E57" s="145">
        <f t="shared" si="4"/>
        <v>325289.40000000037</v>
      </c>
      <c r="G57" s="1" t="s">
        <v>143</v>
      </c>
      <c r="H57" s="38">
        <f>IF(D66=0,0,D66)</f>
        <v>183685853.16666669</v>
      </c>
      <c r="I57" s="39" t="str">
        <f>IF(D66=0,"",A66)</f>
        <v>Otros activos</v>
      </c>
      <c r="J57" s="40">
        <f>IF(Table35[[#This Row],[Column1]]="",0,+H57/$H$79)</f>
        <v>0.20019368783008021</v>
      </c>
      <c r="K57" s="41">
        <f>+K56+Table35[[#This Row],[Column3]]</f>
        <v>0.20019368783008021</v>
      </c>
      <c r="L57" s="41">
        <f>+L56+Table35[[#This Row],[Column6]]</f>
        <v>0</v>
      </c>
      <c r="M57" s="40">
        <f>IF(Table35[[#This Row],[Column8]]="",0,Table35[[#This Row],[Column8]]/$O$79)</f>
        <v>0</v>
      </c>
      <c r="N57" s="39" t="s">
        <v>85</v>
      </c>
      <c r="O57" s="38">
        <f>+B96</f>
        <v>0</v>
      </c>
      <c r="P57" s="3" t="s">
        <v>163</v>
      </c>
    </row>
    <row r="58" spans="1:16">
      <c r="A58" s="86" t="str">
        <f>+'1.Estado Situación'!A11</f>
        <v>Cuentas por cobrar comerciales</v>
      </c>
      <c r="B58" s="308">
        <f>+'1.Estado Situación'!D11</f>
        <v>1618872422.8933334</v>
      </c>
      <c r="C58" s="308">
        <f>+'1.Estado Situación'!C11</f>
        <v>1531339660.2266667</v>
      </c>
      <c r="D58" s="308">
        <f>IF(B58&gt;C58,0,(B58-C58)*-1)</f>
        <v>0</v>
      </c>
      <c r="E58" s="145">
        <f t="shared" si="4"/>
        <v>87532762.666666746</v>
      </c>
      <c r="G58" s="1" t="s">
        <v>144</v>
      </c>
      <c r="H58" s="38">
        <f>IF(D61=0,0,D61)</f>
        <v>0</v>
      </c>
      <c r="I58" s="39" t="str">
        <f>IF(D61=0,"",A61)</f>
        <v/>
      </c>
      <c r="J58" s="40">
        <f>IF(Table35[[#This Row],[Column1]]="",0,+H58/$H$79)</f>
        <v>0</v>
      </c>
      <c r="K58" s="41">
        <f>+K57+Table35[[#This Row],[Column3]]</f>
        <v>0.20019368783008021</v>
      </c>
      <c r="L58" s="41">
        <f>+L57+Table35[[#This Row],[Column6]]</f>
        <v>0</v>
      </c>
      <c r="M58" s="40">
        <f>IF(Table35[[#This Row],[Column8]]="",0,Table35[[#This Row],[Column8]]/$O$79)</f>
        <v>0</v>
      </c>
      <c r="N58" s="39" t="str">
        <f>IF(E87=0,"",A87)</f>
        <v/>
      </c>
      <c r="O58" s="38">
        <f>IF(E87="","",E87)</f>
        <v>0</v>
      </c>
      <c r="P58" s="3" t="s">
        <v>164</v>
      </c>
    </row>
    <row r="59" spans="1:16">
      <c r="A59" s="24" t="str">
        <f>+'1.Estado Situación'!A12</f>
        <v>Cuentas por cobrar varias</v>
      </c>
      <c r="B59" s="308">
        <f>+'1.Estado Situación'!D12</f>
        <v>275638466.06</v>
      </c>
      <c r="C59" s="308">
        <f>+'1.Estado Situación'!C12</f>
        <v>294488850.02000004</v>
      </c>
      <c r="D59" s="308">
        <f>IF(B59&gt;C59,0,(B59-C59)*-1)</f>
        <v>18850383.960000038</v>
      </c>
      <c r="E59" s="145">
        <f t="shared" si="4"/>
        <v>0</v>
      </c>
      <c r="H59" s="38">
        <f>IF(D60=0,0,D60)</f>
        <v>201022514.09333336</v>
      </c>
      <c r="I59" s="39" t="str">
        <f>IF(D60=0,"",A60)</f>
        <v>Inventario</v>
      </c>
      <c r="J59" s="40">
        <f>IF(Table35[[#This Row],[Column1]]="",0,+H59/$H$79)</f>
        <v>0.2190883932509704</v>
      </c>
      <c r="K59" s="41">
        <f>+K58+Table35[[#This Row],[Column3]]</f>
        <v>0.41928208108105058</v>
      </c>
      <c r="L59" s="41">
        <f>+L58+Table35[[#This Row],[Column6]]</f>
        <v>0</v>
      </c>
      <c r="M59" s="40">
        <f>IF(Table35[[#This Row],[Column8]]="",0,Table35[[#This Row],[Column8]]/$O$79)</f>
        <v>0</v>
      </c>
      <c r="N59" s="39" t="str">
        <f>IF(E88=0,"",A88)</f>
        <v/>
      </c>
      <c r="O59" s="38">
        <f>IF(E88="","",E88)</f>
        <v>0</v>
      </c>
    </row>
    <row r="60" spans="1:16">
      <c r="A60" s="24" t="str">
        <f>+'1.Estado Situación'!A13</f>
        <v>Inventario</v>
      </c>
      <c r="B60" s="145">
        <f>+'1.Estado Situación'!D13</f>
        <v>1022353000.34</v>
      </c>
      <c r="C60" s="145">
        <f>+'1.Estado Situación'!C13</f>
        <v>1223375514.4333334</v>
      </c>
      <c r="D60" s="145">
        <f t="shared" ref="D60:D66" si="5">IF(B60&gt;C60,0,(B60-C60)*-1)</f>
        <v>201022514.09333336</v>
      </c>
      <c r="E60" s="145">
        <f t="shared" si="4"/>
        <v>0</v>
      </c>
      <c r="G60" s="1" t="s">
        <v>145</v>
      </c>
      <c r="H60" s="38">
        <f>IF(D59=0,0,D59)</f>
        <v>18850383.960000038</v>
      </c>
      <c r="I60" s="39" t="str">
        <f>IF(D59=0,"",A59)</f>
        <v>Cuentas por cobrar varias</v>
      </c>
      <c r="J60" s="40">
        <f>IF(Table35[[#This Row],[Column1]]="",0,+H60/$H$79)</f>
        <v>2.0544466636422568E-2</v>
      </c>
      <c r="K60" s="41">
        <f>+K59+Table35[[#This Row],[Column3]]</f>
        <v>0.43982654771747315</v>
      </c>
      <c r="L60" s="41">
        <f>+L59+Table35[[#This Row],[Column6]]</f>
        <v>0</v>
      </c>
      <c r="M60" s="40">
        <f>IF(Table35[[#This Row],[Column8]]="",0,Table35[[#This Row],[Column8]]/$O$79)</f>
        <v>0</v>
      </c>
      <c r="N60" s="39" t="str">
        <f>IF(E89=0,"",A89)</f>
        <v/>
      </c>
      <c r="O60" s="38">
        <f>IF(E89="","",E89)</f>
        <v>0</v>
      </c>
      <c r="P60" s="3" t="s">
        <v>165</v>
      </c>
    </row>
    <row r="61" spans="1:16" ht="13.5" thickBot="1">
      <c r="A61" s="157" t="str">
        <f>+'1.Estado Situación'!A14</f>
        <v>Gastos diferidos</v>
      </c>
      <c r="B61" s="158">
        <f>+'1.Estado Situación'!D14</f>
        <v>28655074.986666664</v>
      </c>
      <c r="C61" s="158">
        <f>+'1.Estado Situación'!C14</f>
        <v>27037152.099999998</v>
      </c>
      <c r="D61" s="158">
        <f t="shared" si="5"/>
        <v>0</v>
      </c>
      <c r="E61" s="158">
        <f t="shared" si="4"/>
        <v>1617922.8866666667</v>
      </c>
      <c r="G61" s="1" t="s">
        <v>146</v>
      </c>
      <c r="H61" s="47">
        <f>IF(D58=0,0,D58)</f>
        <v>0</v>
      </c>
      <c r="I61" s="39" t="str">
        <f>IF(D58=0,"",A58)</f>
        <v/>
      </c>
      <c r="J61" s="40">
        <f>IF(Table35[[#This Row],[Column1]]="",0,+H61/$H$79)</f>
        <v>0</v>
      </c>
      <c r="K61" s="41">
        <f>+K60+Table35[[#This Row],[Column3]]</f>
        <v>0.43982654771747315</v>
      </c>
      <c r="L61" s="41">
        <f>+L60+Table35[[#This Row],[Column6]]</f>
        <v>0</v>
      </c>
      <c r="M61" s="40">
        <f>IF(Table35[[#This Row],[Column8]]="",0,Table35[[#This Row],[Column8]]/$O$79)</f>
        <v>0</v>
      </c>
      <c r="N61" s="39" t="str">
        <f>IF(E81=0,"",A81)</f>
        <v/>
      </c>
      <c r="O61" s="38">
        <f>IF(E81="","",E81)</f>
        <v>0</v>
      </c>
      <c r="P61" s="3" t="s">
        <v>166</v>
      </c>
    </row>
    <row r="62" spans="1:16" ht="13.5" thickTop="1">
      <c r="A62" s="310" t="str">
        <f>+'1.Estado Situación'!A15</f>
        <v>Total activo corriente</v>
      </c>
      <c r="B62" s="311">
        <f>+'1.Estado Situación'!D15</f>
        <v>3064919337.8400002</v>
      </c>
      <c r="C62" s="311">
        <f>+'1.Estado Situación'!C15</f>
        <v>3229240950.7933335</v>
      </c>
      <c r="D62" s="311"/>
      <c r="E62" s="311"/>
      <c r="G62" s="1" t="s">
        <v>147</v>
      </c>
      <c r="H62" s="38">
        <f>IF(D57=0,0,D57)</f>
        <v>0</v>
      </c>
      <c r="I62" s="39" t="str">
        <f>IF(D57=0,"",A57)</f>
        <v/>
      </c>
      <c r="J62" s="40">
        <f>IF(Table35[[#This Row],[Column1]]="",0,+H62/$H$79)</f>
        <v>0</v>
      </c>
      <c r="K62" s="41">
        <f>+K61+Table35[[#This Row],[Column3]]</f>
        <v>0.43982654771747315</v>
      </c>
      <c r="L62" s="41">
        <f>+L61+Table35[[#This Row],[Column6]]</f>
        <v>0</v>
      </c>
      <c r="M62" s="40">
        <f>IF(Table35[[#This Row],[Column8]]="",0,Table35[[#This Row],[Column8]]/$O$79)</f>
        <v>0</v>
      </c>
      <c r="N62" s="39" t="str">
        <f>IF(E82=0,"",A82)</f>
        <v/>
      </c>
      <c r="O62" s="38">
        <f>IF(E82="","",E82)</f>
        <v>0</v>
      </c>
      <c r="P62" s="3" t="s">
        <v>153</v>
      </c>
    </row>
    <row r="63" spans="1:16">
      <c r="A63" s="24"/>
      <c r="B63" s="145"/>
      <c r="C63" s="145"/>
      <c r="D63" s="145"/>
      <c r="E63" s="145"/>
      <c r="G63" s="1" t="s">
        <v>148</v>
      </c>
      <c r="H63" s="38">
        <f>IF(D56=0,0,D56)</f>
        <v>33924689.853333324</v>
      </c>
      <c r="I63" s="39" t="str">
        <f>IF(D56=0,"",A56)</f>
        <v xml:space="preserve">Caja, bancos </v>
      </c>
      <c r="J63" s="40">
        <f>IF(Table35[[#This Row],[Column1]]="",0,+H63/$H$79)</f>
        <v>3.697349933676302E-2</v>
      </c>
      <c r="K63" s="41">
        <f>+K62+Table35[[#This Row],[Column3]]</f>
        <v>0.47680004705423618</v>
      </c>
      <c r="L63" s="41">
        <f>+L62+Table35[[#This Row],[Column6]]</f>
        <v>0</v>
      </c>
      <c r="M63" s="40">
        <f>IF(Table35[[#This Row],[Column8]]="",0,Table35[[#This Row],[Column8]]/$O$79)</f>
        <v>0</v>
      </c>
      <c r="N63" s="39" t="str">
        <f>IF(E76=0,"",A76)</f>
        <v/>
      </c>
      <c r="O63" s="38">
        <f>IF(E76="","",E76)</f>
        <v>0</v>
      </c>
      <c r="P63" s="3" t="s">
        <v>162</v>
      </c>
    </row>
    <row r="64" spans="1:16">
      <c r="A64" s="310" t="str">
        <f>+'1.Estado Situación'!A17</f>
        <v>Activo no corriente</v>
      </c>
      <c r="B64" s="311">
        <f>+'1.Estado Situación'!D17</f>
        <v>0</v>
      </c>
      <c r="C64" s="311">
        <f>+'1.Estado Situación'!C17</f>
        <v>0</v>
      </c>
      <c r="D64" s="311"/>
      <c r="E64" s="145"/>
      <c r="G64" s="1" t="s">
        <v>149</v>
      </c>
      <c r="H64" s="38">
        <f>IF(D87=0,0,D87)</f>
        <v>0</v>
      </c>
      <c r="I64" s="39" t="str">
        <f>IF(D87=0,"",A87)</f>
        <v/>
      </c>
      <c r="J64" s="40">
        <f>IF(Table35[[#This Row],[Column1]]="",0,+H64/$H$79)</f>
        <v>0</v>
      </c>
      <c r="K64" s="41">
        <f>+K63+Table35[[#This Row],[Column3]]</f>
        <v>0.47680004705423618</v>
      </c>
      <c r="L64" s="41">
        <f>+L63+Table35[[#This Row],[Column6]]</f>
        <v>0.58096319334733204</v>
      </c>
      <c r="M64" s="40">
        <f>IF(Table35[[#This Row],[Column8]]="",0,Table35[[#This Row],[Column8]]/$O$79)</f>
        <v>0.58096319334733204</v>
      </c>
      <c r="N64" s="39" t="str">
        <f>IF(E80=0,"",A80)</f>
        <v>Préstamos por pagar corto plazo</v>
      </c>
      <c r="O64" s="38">
        <f>IF(E80="","",E80)</f>
        <v>533057365.51999986</v>
      </c>
      <c r="P64" s="3" t="s">
        <v>173</v>
      </c>
    </row>
    <row r="65" spans="1:16">
      <c r="A65" s="24" t="str">
        <f>+'1.Estado Situación'!A18</f>
        <v>Propiedad planta y equipo</v>
      </c>
      <c r="B65" s="145">
        <f>+'1.Estado Situación'!D18</f>
        <v>2186838729.4200001</v>
      </c>
      <c r="C65" s="145">
        <f>+'1.Estado Situación'!C18</f>
        <v>2219500630.3933334</v>
      </c>
      <c r="D65" s="145">
        <f t="shared" si="5"/>
        <v>32661900.973333359</v>
      </c>
      <c r="E65" s="145">
        <f>IF(B65&gt;C65,(B65-C65),0)</f>
        <v>0</v>
      </c>
      <c r="F65" s="193">
        <f>((+B65-C65)*-1)-B95</f>
        <v>-13119601.506666638</v>
      </c>
      <c r="G65" s="1" t="s">
        <v>150</v>
      </c>
      <c r="H65" s="38">
        <f>IF(D88=0,0,D88)</f>
        <v>1830444.0599999987</v>
      </c>
      <c r="I65" s="39" t="str">
        <f>IF(D88=0,"",A88)</f>
        <v>Reserva legal</v>
      </c>
      <c r="J65" s="40">
        <f>IF(Table35[[#This Row],[Column1]]="",0,+H65/$H$79)</f>
        <v>1.9949459385180486E-3</v>
      </c>
      <c r="K65" s="41">
        <f>+K64+Table35[[#This Row],[Column3]]</f>
        <v>0.47879499299275424</v>
      </c>
      <c r="L65" s="41">
        <f>+L64+Table35[[#This Row],[Column6]]</f>
        <v>0.58802390323163567</v>
      </c>
      <c r="M65" s="40">
        <f>IF(Table35[[#This Row],[Column8]]="",0,Table35[[#This Row],[Column8]]/$O$79)</f>
        <v>7.0607098843036616E-3</v>
      </c>
      <c r="N65" s="39" t="str">
        <f>IF(E75=0,"",A75)</f>
        <v>Provisiones por pagar</v>
      </c>
      <c r="O65" s="38">
        <f>IF(E75="","",E75)</f>
        <v>6478488.5733333305</v>
      </c>
      <c r="P65" s="3" t="s">
        <v>167</v>
      </c>
    </row>
    <row r="66" spans="1:16" ht="13.5" thickBot="1">
      <c r="A66" s="157" t="str">
        <f>+'1.Estado Situación'!A19</f>
        <v>Otros activos</v>
      </c>
      <c r="B66" s="158">
        <f>+'1.Estado Situación'!D19</f>
        <v>204647747.12666667</v>
      </c>
      <c r="C66" s="158">
        <f>+'1.Estado Situación'!C19</f>
        <v>388333600.29333335</v>
      </c>
      <c r="D66" s="158">
        <f t="shared" si="5"/>
        <v>183685853.16666669</v>
      </c>
      <c r="E66" s="158">
        <f>IF(B66&gt;C66,(B66-C66),0)</f>
        <v>0</v>
      </c>
      <c r="G66" s="1" t="s">
        <v>151</v>
      </c>
      <c r="H66" s="38">
        <f>IF(D89=0,0,D89)</f>
        <v>0</v>
      </c>
      <c r="I66" s="39" t="str">
        <f>IF(D89=0,"",A89)</f>
        <v/>
      </c>
      <c r="J66" s="40">
        <f>IF(Table35[[#This Row],[Column1]]="",0,+H66/$H$79)</f>
        <v>0</v>
      </c>
      <c r="K66" s="41">
        <f>+K65+Table35[[#This Row],[Column3]]</f>
        <v>0.47879499299275424</v>
      </c>
      <c r="L66" s="41">
        <f>+L65+Table35[[#This Row],[Column6]]</f>
        <v>0.58802390323163567</v>
      </c>
      <c r="M66" s="40">
        <f>IF(Table35[[#This Row],[Column8]]="",0,Table35[[#This Row],[Column8]]/$O$79)</f>
        <v>0</v>
      </c>
      <c r="N66" s="39" t="str">
        <f>IF(E74=0,"",A74)</f>
        <v/>
      </c>
      <c r="O66" s="38">
        <f>IF(E74="","",E74)</f>
        <v>0</v>
      </c>
      <c r="P66" s="3" t="s">
        <v>174</v>
      </c>
    </row>
    <row r="67" spans="1:16" ht="14.25" thickTop="1" thickBot="1">
      <c r="A67" s="157" t="str">
        <f>+'1.Estado Situación'!A20</f>
        <v>Total activos no corrientes</v>
      </c>
      <c r="B67" s="158">
        <f>+'1.Estado Situación'!D20</f>
        <v>2391486476.5466666</v>
      </c>
      <c r="C67" s="158">
        <f>+'1.Estado Situación'!C20</f>
        <v>2607834230.686667</v>
      </c>
      <c r="D67" s="158"/>
      <c r="E67" s="158"/>
      <c r="H67" s="44">
        <f>+B95</f>
        <v>45781502.479999997</v>
      </c>
      <c r="I67" s="45" t="s">
        <v>90</v>
      </c>
      <c r="J67" s="40">
        <f>IF(Table35[[#This Row],[Column1]]="",0,+H67/$H$79)</f>
        <v>4.9895882877584376E-2</v>
      </c>
      <c r="K67" s="41">
        <f>+K66+Table35[[#This Row],[Column3]]</f>
        <v>0.52869087587033858</v>
      </c>
      <c r="L67" s="41">
        <f>+L66+Table35[[#This Row],[Column6]]</f>
        <v>0.58802390323163567</v>
      </c>
      <c r="M67" s="40">
        <f>IF(Table35[[#This Row],[Column8]]="",0,Table35[[#This Row],[Column8]]/$O$79)</f>
        <v>0</v>
      </c>
      <c r="N67" s="39" t="str">
        <f>IF(E73=0,"",A73)</f>
        <v/>
      </c>
      <c r="O67" s="38">
        <f>IF(E73="","",E73)</f>
        <v>0</v>
      </c>
      <c r="P67" s="3" t="s">
        <v>175</v>
      </c>
    </row>
    <row r="68" spans="1:16" ht="13.5" thickTop="1">
      <c r="A68" s="310" t="str">
        <f>+'1.Estado Situación'!A21</f>
        <v>Total activos</v>
      </c>
      <c r="B68" s="311">
        <f>+'1.Estado Situación'!D21</f>
        <v>5456405814.3866663</v>
      </c>
      <c r="C68" s="311">
        <f>+'1.Estado Situación'!C21</f>
        <v>5837075181.4800005</v>
      </c>
      <c r="D68" s="311"/>
      <c r="E68" s="311"/>
      <c r="G68" s="1" t="s">
        <v>152</v>
      </c>
      <c r="H68" s="38">
        <f>IF(D90=0,0,D90)</f>
        <v>9614607.1066666543</v>
      </c>
      <c r="I68" s="39" t="str">
        <f>IF(D90=0,"",A90)</f>
        <v>Utilidades</v>
      </c>
      <c r="J68" s="40">
        <f>IF(Table35[[#This Row],[Column1]]="",0,+H68/$H$79)</f>
        <v>1.0478671168946524E-2</v>
      </c>
      <c r="K68" s="41">
        <f>+K67+Table35[[#This Row],[Column3]]</f>
        <v>0.5391695470392851</v>
      </c>
      <c r="L68" s="41">
        <f>+L67+Table35[[#This Row],[Column6]]</f>
        <v>0.58802390323163567</v>
      </c>
      <c r="M68" s="40">
        <f>IF(Table35[[#This Row],[Column8]]="",0,Table35[[#This Row],[Column8]]/$O$79)</f>
        <v>0</v>
      </c>
      <c r="N68" s="39" t="str">
        <f>IF(E72=0,"",A72)</f>
        <v/>
      </c>
      <c r="O68" s="38">
        <f>IF(E72="","",E72)</f>
        <v>0</v>
      </c>
      <c r="P68" s="3" t="s">
        <v>168</v>
      </c>
    </row>
    <row r="69" spans="1:16">
      <c r="A69" s="24"/>
      <c r="B69" s="145"/>
      <c r="C69" s="145"/>
      <c r="D69" s="145"/>
      <c r="E69" s="145">
        <f>IF(B69&gt;C69,(B69-C69),0)</f>
        <v>0</v>
      </c>
      <c r="G69" s="1" t="s">
        <v>154</v>
      </c>
      <c r="H69" s="38">
        <f>IF(D76=0,0,D76)</f>
        <v>4196232.1266666651</v>
      </c>
      <c r="I69" s="39" t="str">
        <f>IF(D76=0,"",A76)</f>
        <v>Reserva contratos ahorro y crédito largo plazo</v>
      </c>
      <c r="J69" s="40">
        <f>IF(Table35[[#This Row],[Column1]]="",0,+H69/$H$79)</f>
        <v>4.5733472118086047E-3</v>
      </c>
      <c r="K69" s="41">
        <f>+K68+Table35[[#This Row],[Column3]]</f>
        <v>0.54374289425109368</v>
      </c>
      <c r="L69" s="41">
        <f>+L68+Table35[[#This Row],[Column6]]</f>
        <v>0.58802390323163567</v>
      </c>
      <c r="M69" s="40">
        <f>IF(Table35[[#This Row],[Column8]]="",0,Table35[[#This Row],[Column8]]/$O$79)</f>
        <v>0</v>
      </c>
      <c r="N69" s="39" t="str">
        <f>IF(E71=0,"",A71)</f>
        <v/>
      </c>
      <c r="O69" s="38">
        <f>IF(E71="","",E71)</f>
        <v>0</v>
      </c>
      <c r="P69" s="3" t="s">
        <v>169</v>
      </c>
    </row>
    <row r="70" spans="1:16">
      <c r="A70" s="24" t="str">
        <f>+'1.Estado Situación'!A23</f>
        <v>Cuentas por pagar</v>
      </c>
      <c r="B70" s="145">
        <f>+'1.Estado Situación'!D23</f>
        <v>1518609648.5666666</v>
      </c>
      <c r="C70" s="145">
        <f>+'1.Estado Situación'!C23</f>
        <v>1794018901.5266666</v>
      </c>
      <c r="D70" s="145">
        <f>IF(B70&lt;C70,0,(B70-C70))</f>
        <v>0</v>
      </c>
      <c r="E70" s="145">
        <f t="shared" ref="E70:E76" si="6">IF(B70&lt;C70,(B70-C70)*-1,0)</f>
        <v>275409252.96000004</v>
      </c>
      <c r="G70" s="1" t="s">
        <v>153</v>
      </c>
      <c r="H70" s="38">
        <f>IF(D81=0,0,D81)</f>
        <v>270696850.07333338</v>
      </c>
      <c r="I70" s="39" t="str">
        <f>IF(D81=0,"",A81)</f>
        <v>Préstamos por pagar largo plazo</v>
      </c>
      <c r="J70" s="40">
        <f>IF(Table35[[#This Row],[Column1]]="",0,+H70/$H$79)</f>
        <v>0.29502435688934736</v>
      </c>
      <c r="K70" s="41">
        <f>+K69+Table35[[#This Row],[Column3]]</f>
        <v>0.83876725114044104</v>
      </c>
      <c r="L70" s="41">
        <f>+L69+Table35[[#This Row],[Column6]]</f>
        <v>0.88818416632257247</v>
      </c>
      <c r="M70" s="40">
        <f>IF(Table35[[#This Row],[Column8]]="",0,Table35[[#This Row],[Column8]]/$O$79)</f>
        <v>0.30016026309093674</v>
      </c>
      <c r="N70" s="39" t="str">
        <f>IF(E70=0,"",A70)</f>
        <v>Cuentas por pagar</v>
      </c>
      <c r="O70" s="38">
        <f>IF(E70="","",E70)</f>
        <v>275409252.96000004</v>
      </c>
      <c r="P70" s="3" t="s">
        <v>158</v>
      </c>
    </row>
    <row r="71" spans="1:16">
      <c r="A71" s="24" t="str">
        <f>+'1.Estado Situación'!A24</f>
        <v>Reserva contratos ahorro y crédito corto plazo</v>
      </c>
      <c r="B71" s="145">
        <f>+'1.Estado Situación'!D24</f>
        <v>48688929.620000005</v>
      </c>
      <c r="C71" s="145">
        <f>+'1.Estado Situación'!C24</f>
        <v>46714232.100000001</v>
      </c>
      <c r="D71" s="145">
        <f t="shared" ref="D71:D82" si="7">IF(B71&lt;C71,0,(B71-C71))</f>
        <v>1974697.5200000033</v>
      </c>
      <c r="E71" s="145">
        <f t="shared" si="6"/>
        <v>0</v>
      </c>
      <c r="G71" s="1" t="s">
        <v>162</v>
      </c>
      <c r="H71" s="38">
        <f>IF(D82=0,0,D82)</f>
        <v>0</v>
      </c>
      <c r="I71" s="39" t="str">
        <f>IF(D82=0,"",A82)</f>
        <v/>
      </c>
      <c r="J71" s="40">
        <f>IF(Table35[[#This Row],[Column1]]="",0,+H71/$H$79)</f>
        <v>0</v>
      </c>
      <c r="K71" s="41">
        <f>+K70+Table35[[#This Row],[Column3]]</f>
        <v>0.83876725114044104</v>
      </c>
      <c r="L71" s="41">
        <f>+L70+Table35[[#This Row],[Column6]]</f>
        <v>0.90248282549093839</v>
      </c>
      <c r="M71" s="40">
        <f>IF(Table35[[#This Row],[Column8]]="",0,Table35[[#This Row],[Column8]]/$O$79)</f>
        <v>1.4298659168365899E-2</v>
      </c>
      <c r="N71" s="39" t="str">
        <f>IF(F65&lt;0,A65,"")</f>
        <v>Propiedad planta y equipo</v>
      </c>
      <c r="O71" s="38">
        <f>IF(F65&lt;0,-F65,0)</f>
        <v>13119601.506666638</v>
      </c>
      <c r="P71" s="3" t="s">
        <v>159</v>
      </c>
    </row>
    <row r="72" spans="1:16">
      <c r="A72" s="24" t="str">
        <f>+'1.Estado Situación'!A25</f>
        <v>Impuestos por pagar</v>
      </c>
      <c r="B72" s="145">
        <f>+'1.Estado Situación'!D25</f>
        <v>13211948.406666666</v>
      </c>
      <c r="C72" s="145">
        <f>+'1.Estado Situación'!C25</f>
        <v>10811230.393333333</v>
      </c>
      <c r="D72" s="145">
        <f t="shared" si="7"/>
        <v>2400718.0133333337</v>
      </c>
      <c r="E72" s="145">
        <f t="shared" si="6"/>
        <v>0</v>
      </c>
      <c r="G72" s="1" t="s">
        <v>161</v>
      </c>
      <c r="H72" s="47">
        <f>IF(D80=0,0,D80)</f>
        <v>0</v>
      </c>
      <c r="I72" s="39" t="str">
        <f>IF(D80=0,"",A80)</f>
        <v/>
      </c>
      <c r="J72" s="40">
        <f>IF(Table35[[#This Row],[Column1]]="",0,+H72/$H$79)</f>
        <v>0</v>
      </c>
      <c r="K72" s="41">
        <f>+K71+Table35[[#This Row],[Column3]]</f>
        <v>0.83876725114044104</v>
      </c>
      <c r="L72" s="41">
        <f>+L71+Table35[[#This Row],[Column6]]</f>
        <v>0.90248282549093839</v>
      </c>
      <c r="M72" s="40">
        <f>IF(Table35[[#This Row],[Column8]]="",0,Table35[[#This Row],[Column8]]/$O$79)</f>
        <v>0</v>
      </c>
      <c r="N72" s="39" t="str">
        <f>IF(E66=0,"",A66)</f>
        <v/>
      </c>
      <c r="O72" s="38">
        <f>IF(E66="","",E66)</f>
        <v>0</v>
      </c>
      <c r="P72" s="3" t="s">
        <v>170</v>
      </c>
    </row>
    <row r="73" spans="1:16">
      <c r="A73" s="24" t="str">
        <f>+'1.Estado Situación'!A26</f>
        <v>Retenciones y aportes por pagar</v>
      </c>
      <c r="B73" s="145">
        <f>+'1.Estado Situación'!D26</f>
        <v>21238291.140000001</v>
      </c>
      <c r="C73" s="145">
        <f>+'1.Estado Situación'!C26</f>
        <v>19564510.300000001</v>
      </c>
      <c r="D73" s="145">
        <f t="shared" si="7"/>
        <v>1673780.8399999999</v>
      </c>
      <c r="E73" s="145">
        <f t="shared" si="6"/>
        <v>0</v>
      </c>
      <c r="G73" s="1" t="s">
        <v>160</v>
      </c>
      <c r="H73" s="47">
        <f>IF(D75=0,0,D75)</f>
        <v>0</v>
      </c>
      <c r="I73" s="39" t="str">
        <f>IF(D75=0,"",A75)</f>
        <v/>
      </c>
      <c r="J73" s="40">
        <f>IF(Table35[[#This Row],[Column1]]="",0,+H73/$H$79)</f>
        <v>0</v>
      </c>
      <c r="K73" s="41">
        <f>+K72+Table35[[#This Row],[Column3]]</f>
        <v>0.83876725114044104</v>
      </c>
      <c r="L73" s="41">
        <f>+L72+Table35[[#This Row],[Column6]]</f>
        <v>0.90424615099327088</v>
      </c>
      <c r="M73" s="40">
        <f>IF(Table35[[#This Row],[Column8]]="",0,Table35[[#This Row],[Column8]]/$O$79)</f>
        <v>1.763325502332514E-3</v>
      </c>
      <c r="N73" s="39" t="str">
        <f>IF(E61=0,"",A61)</f>
        <v>Gastos diferidos</v>
      </c>
      <c r="O73" s="38">
        <f>IF(E61="","",E61)</f>
        <v>1617922.8866666667</v>
      </c>
      <c r="P73" s="3" t="s">
        <v>171</v>
      </c>
    </row>
    <row r="74" spans="1:16">
      <c r="A74" s="24" t="str">
        <f>+'1.Estado Situación'!A27</f>
        <v>Otras cuentas por pagar</v>
      </c>
      <c r="B74" s="145">
        <f>+'1.Estado Situación'!D27</f>
        <v>151696503.13333333</v>
      </c>
      <c r="C74" s="145">
        <f>+'1.Estado Situación'!C27</f>
        <v>9808092.9133333322</v>
      </c>
      <c r="D74" s="145">
        <f t="shared" si="7"/>
        <v>141888410.22</v>
      </c>
      <c r="E74" s="145">
        <f t="shared" si="6"/>
        <v>0</v>
      </c>
      <c r="G74" s="1" t="s">
        <v>155</v>
      </c>
      <c r="H74" s="47">
        <f>IF(D74=0,0,D74)</f>
        <v>141888410.22</v>
      </c>
      <c r="I74" s="39" t="str">
        <f>IF(D74=0,"",A74)</f>
        <v>Otras cuentas por pagar</v>
      </c>
      <c r="J74" s="40">
        <f>IF(Table35[[#This Row],[Column1]]="",0,+H74/$H$79)</f>
        <v>0.15463991163497887</v>
      </c>
      <c r="K74" s="41">
        <f>+K73+Table35[[#This Row],[Column3]]</f>
        <v>0.99340716277541996</v>
      </c>
      <c r="L74" s="41">
        <f>+L73+Table35[[#This Row],[Column6]]</f>
        <v>0.90424615099327088</v>
      </c>
      <c r="M74" s="40">
        <f>IF(Table35[[#This Row],[Column8]]="",0,Table35[[#This Row],[Column8]]/$O$79)</f>
        <v>0</v>
      </c>
      <c r="N74" s="39" t="str">
        <f>IF(E60=0,"",A60)</f>
        <v/>
      </c>
      <c r="O74" s="38">
        <f>IF(E60="","",E60)</f>
        <v>0</v>
      </c>
      <c r="P74" s="3" t="s">
        <v>144</v>
      </c>
    </row>
    <row r="75" spans="1:16">
      <c r="A75" s="24" t="str">
        <f>+'1.Estado Situación'!A28</f>
        <v>Provisiones por pagar</v>
      </c>
      <c r="B75" s="145">
        <f>+'1.Estado Situación'!D28</f>
        <v>63574418.259999998</v>
      </c>
      <c r="C75" s="145">
        <f>+'1.Estado Situación'!C28</f>
        <v>70052906.833333328</v>
      </c>
      <c r="D75" s="145">
        <f t="shared" si="7"/>
        <v>0</v>
      </c>
      <c r="E75" s="145">
        <f t="shared" si="6"/>
        <v>6478488.5733333305</v>
      </c>
      <c r="G75" s="1" t="s">
        <v>156</v>
      </c>
      <c r="H75" s="47">
        <f>IF(D73=0,0,D73)</f>
        <v>1673780.8399999999</v>
      </c>
      <c r="I75" s="39" t="str">
        <f>IF(D73=0,"",A73)</f>
        <v>Retenciones y aportes por pagar</v>
      </c>
      <c r="J75" s="40">
        <f>IF(Table35[[#This Row],[Column1]]="",0,+H75/$H$79)</f>
        <v>1.8242034059906369E-3</v>
      </c>
      <c r="K75" s="41">
        <f>+K74+Table35[[#This Row],[Column3]]</f>
        <v>0.99523136618141061</v>
      </c>
      <c r="L75" s="41">
        <f>+L74+Table35[[#This Row],[Column6]]</f>
        <v>0.90424615099327088</v>
      </c>
      <c r="M75" s="40">
        <f>IF(Table35[[#This Row],[Column8]]="",0,Table35[[#This Row],[Column8]]/$O$79)</f>
        <v>0</v>
      </c>
      <c r="N75" s="39" t="str">
        <f>IF(E59=0,"",A59)</f>
        <v/>
      </c>
      <c r="O75" s="38">
        <f>IF(E59="","",E59)</f>
        <v>0</v>
      </c>
      <c r="P75" s="3" t="s">
        <v>145</v>
      </c>
    </row>
    <row r="76" spans="1:16" ht="13.5" thickBot="1">
      <c r="A76" s="157" t="str">
        <f>+'1.Estado Situación'!A29</f>
        <v>Reserva contratos ahorro y crédito largo plazo</v>
      </c>
      <c r="B76" s="158">
        <f>+'1.Estado Situación'!D29</f>
        <v>103463975.33333333</v>
      </c>
      <c r="C76" s="158">
        <f>+'1.Estado Situación'!C29</f>
        <v>99267743.206666663</v>
      </c>
      <c r="D76" s="158">
        <f t="shared" si="7"/>
        <v>4196232.1266666651</v>
      </c>
      <c r="E76" s="158">
        <f t="shared" si="6"/>
        <v>0</v>
      </c>
      <c r="G76" s="1" t="s">
        <v>157</v>
      </c>
      <c r="H76" s="47">
        <f>IF(D72=0,0,D72)</f>
        <v>2400718.0133333337</v>
      </c>
      <c r="I76" s="39" t="str">
        <f>IF(D72=0,"",A72)</f>
        <v>Impuestos por pagar</v>
      </c>
      <c r="J76" s="40">
        <f>IF(Table35[[#This Row],[Column1]]="",0,+H76/$H$79)</f>
        <v>2.6164703717995379E-3</v>
      </c>
      <c r="K76" s="41">
        <f>+K75+Table35[[#This Row],[Column3]]</f>
        <v>0.99784783655321019</v>
      </c>
      <c r="L76" s="41">
        <f>+L75+Table35[[#This Row],[Column6]]</f>
        <v>0.99964547686457406</v>
      </c>
      <c r="M76" s="40">
        <f>IF(Table35[[#This Row],[Column8]]="",0,Table35[[#This Row],[Column8]]/$O$79)</f>
        <v>9.5399325871303189E-2</v>
      </c>
      <c r="N76" s="39" t="str">
        <f>IF(E58=0,"",A58)</f>
        <v>Cuentas por cobrar comerciales</v>
      </c>
      <c r="O76" s="38">
        <f>IF(E58="","",E58)</f>
        <v>87532762.666666746</v>
      </c>
      <c r="P76" s="3" t="s">
        <v>146</v>
      </c>
    </row>
    <row r="77" spans="1:16" ht="14.25" thickTop="1" thickBot="1">
      <c r="A77" s="157" t="str">
        <f>+'1.Estado Situación'!A30</f>
        <v>Pasivos sin costo</v>
      </c>
      <c r="B77" s="158">
        <f>+'1.Estado Situación'!D30</f>
        <v>1920483714.4599998</v>
      </c>
      <c r="C77" s="158">
        <f>+'1.Estado Situación'!C30</f>
        <v>2050237617.2733333</v>
      </c>
      <c r="D77" s="158"/>
      <c r="E77" s="158"/>
      <c r="G77" s="1" t="s">
        <v>158</v>
      </c>
      <c r="H77" s="47">
        <f>IF(D71=0,0,D71)</f>
        <v>1974697.5200000033</v>
      </c>
      <c r="I77" s="39" t="str">
        <f>IF(D71=0,"",A71)</f>
        <v>Reserva contratos ahorro y crédito corto plazo</v>
      </c>
      <c r="J77" s="40">
        <f>IF(Table35[[#This Row],[Column1]]="",0,+H77/$H$79)</f>
        <v>2.1521634467898858E-3</v>
      </c>
      <c r="K77" s="41">
        <f>+K76+Table35[[#This Row],[Column3]]</f>
        <v>1</v>
      </c>
      <c r="L77" s="41">
        <f>+L76+Table35[[#This Row],[Column6]]</f>
        <v>1</v>
      </c>
      <c r="M77" s="40">
        <f>IF(Table35[[#This Row],[Column8]]="",0,Table35[[#This Row],[Column8]]/$O$79)</f>
        <v>3.5452313542593276E-4</v>
      </c>
      <c r="N77" s="39" t="str">
        <f>IF(E57=0,"",A57)</f>
        <v>Inversiones transitorias</v>
      </c>
      <c r="O77" s="38">
        <f>IF(E57="","",E57)</f>
        <v>325289.40000000037</v>
      </c>
      <c r="P77" s="3" t="s">
        <v>172</v>
      </c>
    </row>
    <row r="78" spans="1:16" ht="14.25" thickTop="1" thickBot="1">
      <c r="A78" s="310" t="str">
        <f>+'1.Estado Situación'!A31</f>
        <v>Activo neto</v>
      </c>
      <c r="B78" s="311">
        <f>+'1.Estado Situación'!D31</f>
        <v>3535922099.9266667</v>
      </c>
      <c r="C78" s="311">
        <f>+'1.Estado Situación'!C31</f>
        <v>3786837564.2066674</v>
      </c>
      <c r="D78" s="311"/>
      <c r="E78" s="145"/>
      <c r="G78" s="1" t="s">
        <v>159</v>
      </c>
      <c r="H78" s="194">
        <f>IF(D70=0,0,D70)</f>
        <v>0</v>
      </c>
      <c r="I78" s="195" t="str">
        <f>IF(D70=0,"",A70)</f>
        <v/>
      </c>
      <c r="J78" s="197">
        <f>IF(Table35[[#This Row],[Column1]]="",0,+H78/$H$79)</f>
        <v>0</v>
      </c>
      <c r="K78" s="197">
        <f>+K77+Table35[[#This Row],[Column3]]</f>
        <v>1</v>
      </c>
      <c r="L78" s="197">
        <f>+L77+Table35[[#This Row],[Column6]]</f>
        <v>1</v>
      </c>
      <c r="M78" s="197">
        <f>IF(Table35[[#This Row],[Column8]]="",0,Table35[[#This Row],[Column8]]/$O$79)</f>
        <v>0</v>
      </c>
      <c r="N78" s="195" t="str">
        <f>IF(E56=0,"",A56)</f>
        <v/>
      </c>
      <c r="O78" s="194">
        <f>IF(E56="","",E56)</f>
        <v>0</v>
      </c>
      <c r="P78" s="3" t="s">
        <v>148</v>
      </c>
    </row>
    <row r="79" spans="1:16" ht="13.5" thickTop="1">
      <c r="A79" s="24"/>
      <c r="B79" s="145"/>
      <c r="C79" s="145"/>
      <c r="D79" s="145"/>
      <c r="E79" s="145"/>
      <c r="H79" s="297">
        <f>SUBTOTAL(109,H55:H78)</f>
        <v>917540683.51333344</v>
      </c>
      <c r="I79" s="298" t="s">
        <v>136</v>
      </c>
      <c r="J79" s="312">
        <f>SUBTOTAL(109,J55:J78)</f>
        <v>1</v>
      </c>
      <c r="K79" s="300"/>
      <c r="L79" s="300"/>
      <c r="M79" s="312">
        <f>SUBTOTAL(109,M55:M78)</f>
        <v>1</v>
      </c>
      <c r="N79" s="301" t="s">
        <v>137</v>
      </c>
      <c r="O79" s="297">
        <f>SUBTOTAL(109,O55:O78)</f>
        <v>917540683.51333332</v>
      </c>
    </row>
    <row r="80" spans="1:16">
      <c r="A80" s="24" t="str">
        <f>+'1.Estado Situación'!A33</f>
        <v>Préstamos por pagar corto plazo</v>
      </c>
      <c r="B80" s="145">
        <f>+'1.Estado Situación'!D33</f>
        <v>662288184.38</v>
      </c>
      <c r="C80" s="145">
        <f>+'1.Estado Situación'!C33</f>
        <v>1195345549.8999999</v>
      </c>
      <c r="D80" s="145">
        <f t="shared" si="7"/>
        <v>0</v>
      </c>
      <c r="E80" s="145">
        <f>IF(B80&lt;C80,(B80-C80)*-1,0)</f>
        <v>533057365.51999986</v>
      </c>
      <c r="H80" s="50">
        <f>+H79-O79</f>
        <v>0</v>
      </c>
      <c r="I80" s="39" t="str">
        <f>IF(D95="","",A95)</f>
        <v/>
      </c>
      <c r="J80" s="40"/>
      <c r="K80" s="41"/>
      <c r="L80" s="41"/>
      <c r="M80" s="40"/>
      <c r="N80" s="51"/>
      <c r="O80" s="52"/>
    </row>
    <row r="81" spans="1:15">
      <c r="A81" s="24" t="str">
        <f>+'1.Estado Situación'!A34</f>
        <v>Préstamos por pagar largo plazo</v>
      </c>
      <c r="B81" s="145">
        <f>+'1.Estado Situación'!D34</f>
        <v>760886293.36000001</v>
      </c>
      <c r="C81" s="145">
        <f>+'1.Estado Situación'!C34</f>
        <v>490189443.28666663</v>
      </c>
      <c r="D81" s="145">
        <f t="shared" si="7"/>
        <v>270696850.07333338</v>
      </c>
      <c r="E81" s="145">
        <f>IF(B81&lt;C81,(B81-C81)*-1,0)</f>
        <v>0</v>
      </c>
      <c r="H81" s="45"/>
      <c r="J81" s="40"/>
      <c r="K81" s="41"/>
      <c r="L81" s="41"/>
      <c r="M81" s="40"/>
      <c r="N81" s="51"/>
      <c r="O81" s="52"/>
    </row>
    <row r="82" spans="1:15" ht="13.5" thickBot="1">
      <c r="A82" s="157" t="str">
        <f>+'1.Estado Situación'!A35</f>
        <v>Hipotecas por pagar</v>
      </c>
      <c r="B82" s="158">
        <f>+'1.Estado Situación'!D35</f>
        <v>0</v>
      </c>
      <c r="C82" s="158">
        <f>+'1.Estado Situación'!C35</f>
        <v>0</v>
      </c>
      <c r="D82" s="158">
        <f t="shared" si="7"/>
        <v>0</v>
      </c>
      <c r="E82" s="158">
        <f>IF(B82&lt;C82,(B82-C82)*-1,0)</f>
        <v>0</v>
      </c>
      <c r="H82" s="44"/>
      <c r="J82" s="40"/>
      <c r="K82" s="41"/>
      <c r="L82" s="41"/>
      <c r="M82" s="40"/>
      <c r="N82" s="51"/>
      <c r="O82" s="38"/>
    </row>
    <row r="83" spans="1:15" ht="14.25" thickTop="1" thickBot="1">
      <c r="A83" s="157" t="str">
        <f>+'1.Estado Situación'!A36</f>
        <v>Pasivo con costo</v>
      </c>
      <c r="B83" s="158">
        <f>+'1.Estado Situación'!D36</f>
        <v>1423174477.74</v>
      </c>
      <c r="C83" s="158">
        <f>+'1.Estado Situación'!C36</f>
        <v>1685534993.1866665</v>
      </c>
      <c r="D83" s="158"/>
      <c r="E83" s="158"/>
      <c r="H83" s="45"/>
      <c r="J83" s="40"/>
      <c r="K83" s="41"/>
      <c r="L83" s="41"/>
      <c r="M83" s="40"/>
      <c r="N83" s="51"/>
      <c r="O83" s="52"/>
    </row>
    <row r="84" spans="1:15" ht="13.5" thickTop="1">
      <c r="A84" s="53" t="str">
        <f>+'1.Estado Situación'!A37</f>
        <v>Total pasivo</v>
      </c>
      <c r="B84" s="311">
        <f>+'1.Estado Situación'!D37</f>
        <v>3343658192.1999993</v>
      </c>
      <c r="C84" s="311">
        <f>+'1.Estado Situación'!C37</f>
        <v>3735772610.4599996</v>
      </c>
      <c r="D84" s="311"/>
      <c r="E84" s="145"/>
      <c r="H84" s="45"/>
      <c r="I84" s="534" t="s">
        <v>138</v>
      </c>
      <c r="J84" s="534"/>
      <c r="K84" s="534"/>
      <c r="L84" s="534"/>
      <c r="M84" s="534"/>
      <c r="N84" s="534"/>
      <c r="O84" s="52"/>
    </row>
    <row r="85" spans="1:15">
      <c r="A85" s="54"/>
      <c r="B85" s="145"/>
      <c r="C85" s="145"/>
      <c r="D85" s="145"/>
      <c r="E85" s="145"/>
      <c r="H85" s="45"/>
      <c r="I85" s="55" t="s">
        <v>86</v>
      </c>
      <c r="J85" s="56"/>
      <c r="K85" s="41">
        <f>+K71</f>
        <v>0.83876725114044104</v>
      </c>
      <c r="L85" s="41">
        <f>+L73</f>
        <v>0.90424615099327088</v>
      </c>
      <c r="M85" s="55"/>
      <c r="N85" s="55" t="s">
        <v>139</v>
      </c>
      <c r="O85" s="52"/>
    </row>
    <row r="86" spans="1:15">
      <c r="A86" s="310" t="str">
        <f>+'1.Estado Situación'!A39</f>
        <v>Patrimonio</v>
      </c>
      <c r="B86" s="311"/>
      <c r="C86" s="311"/>
      <c r="D86" s="311"/>
      <c r="E86" s="145"/>
      <c r="H86" s="45"/>
      <c r="I86" s="55" t="s">
        <v>87</v>
      </c>
      <c r="J86" s="56"/>
      <c r="K86" s="41">
        <f>1-K85</f>
        <v>0.16123274885955896</v>
      </c>
      <c r="L86" s="41">
        <f>1-L85</f>
        <v>9.5753849006729119E-2</v>
      </c>
      <c r="M86" s="55"/>
      <c r="N86" s="55" t="s">
        <v>88</v>
      </c>
      <c r="O86" s="52"/>
    </row>
    <row r="87" spans="1:15">
      <c r="A87" s="24" t="str">
        <f>+'1.Estado Situación'!A40</f>
        <v>Capital acciones</v>
      </c>
      <c r="B87" s="145">
        <f>+'1.Estado Situación'!D40</f>
        <v>1182866666.6666667</v>
      </c>
      <c r="C87" s="145">
        <f>+'1.Estado Situación'!C40</f>
        <v>1182866666.6666667</v>
      </c>
      <c r="D87" s="145">
        <f>IF(B87&lt;C87,0,(B87-C87))</f>
        <v>0</v>
      </c>
      <c r="E87" s="145">
        <f>IF(B87&lt;C87,(B87-C87)*-1,0)</f>
        <v>0</v>
      </c>
      <c r="H87" s="45"/>
      <c r="I87" s="57" t="s">
        <v>89</v>
      </c>
      <c r="J87" s="58"/>
      <c r="K87" s="59">
        <v>1</v>
      </c>
      <c r="L87" s="59">
        <v>1</v>
      </c>
      <c r="M87" s="60"/>
      <c r="N87" s="57" t="s">
        <v>89</v>
      </c>
      <c r="O87" s="52"/>
    </row>
    <row r="88" spans="1:15">
      <c r="A88" s="24" t="str">
        <f>+'1.Estado Situación'!A41</f>
        <v>Reserva legal</v>
      </c>
      <c r="B88" s="145">
        <f>+'1.Estado Situación'!D41</f>
        <v>21016297.653333332</v>
      </c>
      <c r="C88" s="145">
        <f>+'1.Estado Situación'!C41</f>
        <v>19185853.593333334</v>
      </c>
      <c r="D88" s="145">
        <f>IF(B88&lt;C88,0,(B88-C88))</f>
        <v>1830444.0599999987</v>
      </c>
      <c r="E88" s="145">
        <f>IF(B88&lt;C88,(B88-C88)*-1,0)</f>
        <v>0</v>
      </c>
      <c r="H88" s="52"/>
      <c r="I88" s="39"/>
      <c r="J88" s="40"/>
      <c r="K88" s="41"/>
      <c r="L88" s="41"/>
      <c r="M88" s="40"/>
      <c r="N88" s="51"/>
      <c r="O88" s="52"/>
    </row>
    <row r="89" spans="1:15" ht="15.75">
      <c r="A89" s="24" t="str">
        <f>+'1.Estado Situación'!A42</f>
        <v xml:space="preserve">Superavti por revaluación </v>
      </c>
      <c r="B89" s="145">
        <f>+'1.Estado Situación'!D42</f>
        <v>730555206.85333335</v>
      </c>
      <c r="C89" s="145">
        <f>+'1.Estado Situación'!C42</f>
        <v>730555206.85333335</v>
      </c>
      <c r="D89" s="145">
        <f>IF(B89&lt;C89,0,(B89-C89))</f>
        <v>0</v>
      </c>
      <c r="E89" s="145">
        <f>IF(B89&lt;C89,(B89-C89)*-1,0)</f>
        <v>0</v>
      </c>
      <c r="H89" s="52"/>
      <c r="I89" s="61" t="s">
        <v>117</v>
      </c>
      <c r="J89" s="40"/>
      <c r="K89" s="41"/>
      <c r="L89" s="41"/>
      <c r="M89" s="40"/>
      <c r="N89" s="51"/>
      <c r="O89" s="52"/>
    </row>
    <row r="90" spans="1:15" ht="15.75" thickBot="1">
      <c r="A90" s="157" t="str">
        <f>+'1.Estado Situación'!A43</f>
        <v>Utilidades</v>
      </c>
      <c r="B90" s="158">
        <f>+'1.Estado Situación'!D43</f>
        <v>178309451.01333332</v>
      </c>
      <c r="C90" s="158">
        <f>+'1.Estado Situación'!C43</f>
        <v>168694843.90666667</v>
      </c>
      <c r="D90" s="158">
        <f>IF(B90&lt;C90,0,(B90-C90))</f>
        <v>9614607.1066666543</v>
      </c>
      <c r="E90" s="158">
        <f>IF(B90&lt;C90,(B90-C90)*-1,0)</f>
        <v>0</v>
      </c>
      <c r="H90" s="52"/>
      <c r="I90" s="62" t="str">
        <f>IF(K85&gt;L85,"Sí existe equilibrio, porque las fuentes menos exigibles financian (superan) los empleos menos líquidos.","No existe equilibrio, porque las fuentes menos exigibles no están financiando (superan) los empleos menos líquidos.")</f>
        <v>No existe equilibrio, porque las fuentes menos exigibles no están financiando (superan) los empleos menos líquidos.</v>
      </c>
      <c r="J90" s="40"/>
      <c r="K90" s="41"/>
      <c r="L90" s="41"/>
      <c r="M90" s="40"/>
      <c r="N90" s="51"/>
      <c r="O90" s="52"/>
    </row>
    <row r="91" spans="1:15" ht="14.25" thickTop="1" thickBot="1">
      <c r="A91" s="157" t="str">
        <f>+'1.Estado Situación'!A44</f>
        <v>Total patrimonio</v>
      </c>
      <c r="B91" s="158">
        <f>+'1.Estado Situación'!D44</f>
        <v>2112747622.1866667</v>
      </c>
      <c r="C91" s="158">
        <f>+'1.Estado Situación'!C44</f>
        <v>2101302571.0200002</v>
      </c>
      <c r="D91" s="158"/>
      <c r="E91" s="158"/>
    </row>
    <row r="92" spans="1:15" ht="13.5" thickTop="1">
      <c r="A92" s="310" t="str">
        <f>+'1.Estado Situación'!A45</f>
        <v>Total pasivo y patrimonio</v>
      </c>
      <c r="B92" s="311">
        <f>+'1.Estado Situación'!D45</f>
        <v>3535922099.9266667</v>
      </c>
      <c r="C92" s="311">
        <f>+'1.Estado Situación'!C45</f>
        <v>3786837564.2066665</v>
      </c>
      <c r="D92" s="311"/>
      <c r="E92" s="145"/>
    </row>
    <row r="93" spans="1:15">
      <c r="A93" s="24"/>
      <c r="B93" s="145">
        <f>+B92-B78</f>
        <v>0</v>
      </c>
      <c r="C93" s="145">
        <f>+C92-C78</f>
        <v>0</v>
      </c>
      <c r="D93" s="145">
        <f>SUBTOTAL(109,D54:D92)</f>
        <v>904421082.00666678</v>
      </c>
      <c r="E93" s="145">
        <f>IF(C93&gt;D93,0,(C93-D93)*-1)</f>
        <v>904421082.00666678</v>
      </c>
    </row>
    <row r="94" spans="1:15">
      <c r="B94" s="32"/>
      <c r="C94" s="32"/>
    </row>
    <row r="95" spans="1:15">
      <c r="A95" s="15" t="s">
        <v>90</v>
      </c>
      <c r="B95" s="32">
        <f>+'2.Estado Resultados'!D25</f>
        <v>45781502.479999997</v>
      </c>
    </row>
    <row r="96" spans="1:15">
      <c r="A96" s="15" t="s">
        <v>85</v>
      </c>
      <c r="B96" s="32">
        <v>0</v>
      </c>
    </row>
    <row r="98" spans="1:15">
      <c r="H98" s="20" t="s">
        <v>0</v>
      </c>
    </row>
    <row r="99" spans="1:15">
      <c r="H99" s="36" t="s">
        <v>132</v>
      </c>
      <c r="I99" s="35"/>
      <c r="J99" s="35"/>
      <c r="K99" s="35"/>
      <c r="L99" s="35"/>
      <c r="M99" s="35"/>
      <c r="N99" s="35"/>
      <c r="O99" s="35"/>
    </row>
    <row r="100" spans="1:15" ht="15">
      <c r="A100"/>
      <c r="B100"/>
      <c r="C100"/>
      <c r="D100"/>
      <c r="E100"/>
      <c r="H100"/>
      <c r="I100"/>
      <c r="J100"/>
      <c r="K100"/>
      <c r="L100"/>
      <c r="M100"/>
      <c r="N100"/>
      <c r="O100"/>
    </row>
    <row r="101" spans="1:15">
      <c r="A101" s="291"/>
      <c r="B101" s="292">
        <v>40816</v>
      </c>
      <c r="C101" s="292">
        <v>40451</v>
      </c>
      <c r="D101" s="293" t="s">
        <v>140</v>
      </c>
      <c r="E101" s="294" t="s">
        <v>141</v>
      </c>
      <c r="H101" s="302" t="s">
        <v>140</v>
      </c>
      <c r="I101" s="302"/>
      <c r="J101" s="302"/>
      <c r="K101" s="302"/>
      <c r="L101" s="302" t="s">
        <v>141</v>
      </c>
      <c r="M101" s="302"/>
      <c r="N101" s="302"/>
      <c r="O101" s="302"/>
    </row>
    <row r="102" spans="1:15">
      <c r="A102" s="306" t="str">
        <f>+'1.Estado Situación'!A8</f>
        <v>Activo corriente</v>
      </c>
      <c r="B102" s="307"/>
      <c r="C102" s="307"/>
      <c r="D102" s="309"/>
      <c r="E102" s="307"/>
      <c r="H102" s="291" t="s">
        <v>130</v>
      </c>
      <c r="I102" s="292" t="s">
        <v>133</v>
      </c>
      <c r="J102" s="292" t="s">
        <v>134</v>
      </c>
      <c r="K102" s="291" t="s">
        <v>135</v>
      </c>
      <c r="L102" s="292" t="s">
        <v>135</v>
      </c>
      <c r="M102" s="292" t="s">
        <v>134</v>
      </c>
      <c r="N102" s="291" t="s">
        <v>133</v>
      </c>
      <c r="O102" s="291" t="s">
        <v>130</v>
      </c>
    </row>
    <row r="103" spans="1:15">
      <c r="A103" s="86" t="str">
        <f>+'1.Estado Situación'!A9</f>
        <v xml:space="preserve">Caja, bancos </v>
      </c>
      <c r="B103" s="308">
        <f>+'1.Estado Situación'!E9</f>
        <v>101830859.86666667</v>
      </c>
      <c r="C103" s="308">
        <f>+'1.Estado Situación'!D9</f>
        <v>115380231.62666667</v>
      </c>
      <c r="D103" s="308">
        <f t="shared" ref="D103:D108" si="8">IF(B103&gt;C103,0,(B103-C103)*-1)</f>
        <v>13549371.75999999</v>
      </c>
      <c r="E103" s="145">
        <f t="shared" ref="E103:E108" si="9">IF(B103&gt;C103,(B103-C103),0)</f>
        <v>0</v>
      </c>
      <c r="G103" s="1" t="s">
        <v>142</v>
      </c>
      <c r="H103" s="295">
        <f>IF(F112&lt;0,0,F112)</f>
        <v>0</v>
      </c>
      <c r="I103" s="39" t="str">
        <f>IF(F112&lt;0,"",A112)</f>
        <v/>
      </c>
      <c r="J103" s="40">
        <f>+'9.Fuentes y empleos'!$H103/$H$126</f>
        <v>0</v>
      </c>
      <c r="K103" s="41">
        <f>+'9.Fuentes y empleos'!$J103</f>
        <v>0</v>
      </c>
      <c r="L103" s="41">
        <f>+'9.Fuentes y empleos'!$M103</f>
        <v>2.2678073955662896E-2</v>
      </c>
      <c r="M103" s="40">
        <f>+'9.Fuentes y empleos'!$O103/$O$126</f>
        <v>2.2678073955662896E-2</v>
      </c>
      <c r="N103" s="39" t="str">
        <f>IF(E137=0,"",A137)</f>
        <v>Utilidades</v>
      </c>
      <c r="O103" s="295">
        <f>IF(E137="","",E137)</f>
        <v>35475894.353333324</v>
      </c>
    </row>
    <row r="104" spans="1:15">
      <c r="A104" s="86" t="str">
        <f>+'1.Estado Situación'!A10</f>
        <v>Inversiones transitorias</v>
      </c>
      <c r="B104" s="308">
        <f>+'1.Estado Situación'!E10</f>
        <v>21053786.413333334</v>
      </c>
      <c r="C104" s="308">
        <f>+'1.Estado Situación'!D10</f>
        <v>4020141.9333333336</v>
      </c>
      <c r="D104" s="308">
        <f t="shared" si="8"/>
        <v>0</v>
      </c>
      <c r="E104" s="145">
        <f t="shared" si="9"/>
        <v>17033644.48</v>
      </c>
      <c r="G104" s="1" t="s">
        <v>143</v>
      </c>
      <c r="H104" s="295">
        <f>IF(D113=0,0,D113)</f>
        <v>0</v>
      </c>
      <c r="I104" s="39" t="str">
        <f>IF(D113=0,"",A113)</f>
        <v/>
      </c>
      <c r="J104" s="40">
        <f>+'9.Fuentes y empleos'!$H104/$H$126</f>
        <v>0</v>
      </c>
      <c r="K104" s="41">
        <f>+K103+'9.Fuentes y empleos'!$J104</f>
        <v>0</v>
      </c>
      <c r="L104" s="41">
        <f>+'9.Fuentes y empleos'!$M104+L103</f>
        <v>2.2678073955662896E-2</v>
      </c>
      <c r="M104" s="40">
        <f>+'9.Fuentes y empleos'!$O104/$O$126</f>
        <v>0</v>
      </c>
      <c r="N104" s="39" t="s">
        <v>85</v>
      </c>
      <c r="O104" s="295">
        <f>+B143</f>
        <v>0</v>
      </c>
    </row>
    <row r="105" spans="1:15">
      <c r="A105" s="86" t="str">
        <f>+'1.Estado Situación'!A11</f>
        <v>Cuentas por cobrar comerciales</v>
      </c>
      <c r="B105" s="308">
        <f>+'1.Estado Situación'!E11</f>
        <v>747456943.57999992</v>
      </c>
      <c r="C105" s="308">
        <f>+'1.Estado Situación'!D11</f>
        <v>1618872422.8933334</v>
      </c>
      <c r="D105" s="308">
        <f t="shared" si="8"/>
        <v>871415479.31333351</v>
      </c>
      <c r="E105" s="145">
        <f t="shared" si="9"/>
        <v>0</v>
      </c>
      <c r="G105" s="1" t="s">
        <v>144</v>
      </c>
      <c r="H105" s="295">
        <f>IF(D108=0,0,D108)</f>
        <v>6439667.7533333302</v>
      </c>
      <c r="I105" s="39" t="str">
        <f>IF(D108=0,"",A108)</f>
        <v>Gastos diferidos</v>
      </c>
      <c r="J105" s="40">
        <f>+'9.Fuentes y empleos'!$H105/$H$126</f>
        <v>4.1165773047316806E-3</v>
      </c>
      <c r="K105" s="41">
        <f>+K104+'9.Fuentes y empleos'!$J105</f>
        <v>4.1165773047316806E-3</v>
      </c>
      <c r="L105" s="41">
        <f>+'9.Fuentes y empleos'!$M105+L104</f>
        <v>2.2678073955662896E-2</v>
      </c>
      <c r="M105" s="40">
        <f>+'9.Fuentes y empleos'!$O105/$O$126</f>
        <v>0</v>
      </c>
      <c r="N105" s="39" t="str">
        <f>IF(E134=0,"",A134)</f>
        <v/>
      </c>
      <c r="O105" s="295">
        <f>IF(E134="","",E134)</f>
        <v>0</v>
      </c>
    </row>
    <row r="106" spans="1:15">
      <c r="A106" s="24" t="str">
        <f>+'1.Estado Situación'!A12</f>
        <v>Cuentas por cobrar varias</v>
      </c>
      <c r="B106" s="308">
        <f>+'1.Estado Situación'!E12</f>
        <v>225056597.3066667</v>
      </c>
      <c r="C106" s="308">
        <f>+'1.Estado Situación'!D12</f>
        <v>275638466.06</v>
      </c>
      <c r="D106" s="308">
        <f t="shared" si="8"/>
        <v>50581868.7533333</v>
      </c>
      <c r="E106" s="145">
        <f t="shared" si="9"/>
        <v>0</v>
      </c>
      <c r="G106" s="1" t="s">
        <v>145</v>
      </c>
      <c r="H106" s="295">
        <f>IF(D107=0,0,D107)</f>
        <v>0</v>
      </c>
      <c r="I106" s="39" t="str">
        <f>IF(D107=0,"",A107)</f>
        <v/>
      </c>
      <c r="J106" s="40">
        <f>+'9.Fuentes y empleos'!$H106/$H$126</f>
        <v>0</v>
      </c>
      <c r="K106" s="41">
        <f>+K105+'9.Fuentes y empleos'!$J106</f>
        <v>4.1165773047316806E-3</v>
      </c>
      <c r="L106" s="41">
        <f>+'9.Fuentes y empleos'!$M106+L105</f>
        <v>2.2678073955662896E-2</v>
      </c>
      <c r="M106" s="40">
        <f>+'9.Fuentes y empleos'!$O106/$O$126</f>
        <v>0</v>
      </c>
      <c r="N106" s="39" t="str">
        <f>IF(E135=0,"",A135)</f>
        <v/>
      </c>
      <c r="O106" s="295">
        <f>IF(E135="","",E135)</f>
        <v>0</v>
      </c>
    </row>
    <row r="107" spans="1:15">
      <c r="A107" s="24" t="str">
        <f>+'1.Estado Situación'!A13</f>
        <v>Inventario</v>
      </c>
      <c r="B107" s="145">
        <f>+'1.Estado Situación'!E13</f>
        <v>1103694669.8199999</v>
      </c>
      <c r="C107" s="145">
        <f>+'1.Estado Situación'!D13</f>
        <v>1022353000.34</v>
      </c>
      <c r="D107" s="145">
        <f t="shared" si="8"/>
        <v>0</v>
      </c>
      <c r="E107" s="145">
        <f t="shared" si="9"/>
        <v>81341669.4799999</v>
      </c>
      <c r="G107" s="15"/>
      <c r="H107" s="295">
        <f>IF(D106=0,0,D106)</f>
        <v>50581868.7533333</v>
      </c>
      <c r="I107" s="39" t="str">
        <f>IF(D106=0,"",A106)</f>
        <v>Cuentas por cobrar varias</v>
      </c>
      <c r="J107" s="40">
        <f>+'9.Fuentes y empleos'!$H107/$H$126</f>
        <v>3.2334614287065737E-2</v>
      </c>
      <c r="K107" s="41">
        <f>+K106+'9.Fuentes y empleos'!$J107</f>
        <v>3.6451191591797417E-2</v>
      </c>
      <c r="L107" s="41">
        <f>+'9.Fuentes y empleos'!$M107+L106</f>
        <v>2.2678073955662896E-2</v>
      </c>
      <c r="M107" s="40">
        <f>+'9.Fuentes y empleos'!$O107/$O$126</f>
        <v>0</v>
      </c>
      <c r="N107" s="39" t="str">
        <f>IF(E136=0,"",A136)</f>
        <v/>
      </c>
      <c r="O107" s="295">
        <f>IF(E136="","",E136)</f>
        <v>0</v>
      </c>
    </row>
    <row r="108" spans="1:15" ht="13.5" thickBot="1">
      <c r="A108" s="157" t="str">
        <f>+'1.Estado Situación'!A14</f>
        <v>Gastos diferidos</v>
      </c>
      <c r="B108" s="158">
        <f>+'1.Estado Situación'!E14</f>
        <v>22215407.233333334</v>
      </c>
      <c r="C108" s="158">
        <f>+'1.Estado Situación'!D14</f>
        <v>28655074.986666664</v>
      </c>
      <c r="D108" s="158">
        <f t="shared" si="8"/>
        <v>6439667.7533333302</v>
      </c>
      <c r="E108" s="158">
        <f t="shared" si="9"/>
        <v>0</v>
      </c>
      <c r="G108" s="1" t="s">
        <v>146</v>
      </c>
      <c r="H108" s="295">
        <f>IF(D105=0,0,D105)</f>
        <v>871415479.31333351</v>
      </c>
      <c r="I108" s="39" t="str">
        <f>IF(D105=0,"",A105)</f>
        <v>Cuentas por cobrar comerciales</v>
      </c>
      <c r="J108" s="40">
        <f>+'9.Fuentes y empleos'!$H108/$H$126</f>
        <v>0.55705501006263869</v>
      </c>
      <c r="K108" s="41">
        <f>+K107+'9.Fuentes y empleos'!$J108</f>
        <v>0.59350620165443613</v>
      </c>
      <c r="L108" s="41">
        <f>+'9.Fuentes y empleos'!$M108+L107</f>
        <v>2.2678073955662896E-2</v>
      </c>
      <c r="M108" s="40">
        <f>+'9.Fuentes y empleos'!$O108/$O$126</f>
        <v>0</v>
      </c>
      <c r="N108" s="39" t="str">
        <f>IF(E128=0,"",A128)</f>
        <v/>
      </c>
      <c r="O108" s="295">
        <f>IF(E128="","",E128)</f>
        <v>0</v>
      </c>
    </row>
    <row r="109" spans="1:15" ht="13.5" thickTop="1">
      <c r="A109" s="310" t="str">
        <f>+'1.Estado Situación'!A15</f>
        <v>Total activo corriente</v>
      </c>
      <c r="B109" s="311">
        <f>+'1.Estado Situación'!E15</f>
        <v>2221308264.2199998</v>
      </c>
      <c r="C109" s="311">
        <f>+'1.Estado Situación'!D15</f>
        <v>3064919337.8400002</v>
      </c>
      <c r="D109" s="311"/>
      <c r="E109" s="311"/>
      <c r="G109" s="1" t="s">
        <v>147</v>
      </c>
      <c r="H109" s="295">
        <f>IF(D104=0,0,D104)</f>
        <v>0</v>
      </c>
      <c r="I109" s="39" t="str">
        <f>IF(D104=0,"",A104)</f>
        <v/>
      </c>
      <c r="J109" s="40">
        <f>+'9.Fuentes y empleos'!$H109/$H$126</f>
        <v>0</v>
      </c>
      <c r="K109" s="41">
        <f>+K108+'9.Fuentes y empleos'!$J109</f>
        <v>0.59350620165443613</v>
      </c>
      <c r="L109" s="41">
        <f>+'9.Fuentes y empleos'!$M109+L108</f>
        <v>2.2678073955662896E-2</v>
      </c>
      <c r="M109" s="40">
        <f>+'9.Fuentes y empleos'!$O109/$O$126</f>
        <v>0</v>
      </c>
      <c r="N109" s="39" t="str">
        <f>IF(E129=0,"",A129)</f>
        <v/>
      </c>
      <c r="O109" s="295">
        <f>IF(E129="","",E129)</f>
        <v>0</v>
      </c>
    </row>
    <row r="110" spans="1:15">
      <c r="A110" s="24"/>
      <c r="B110" s="145"/>
      <c r="C110" s="145"/>
      <c r="D110" s="145"/>
      <c r="E110" s="145"/>
      <c r="G110" s="1" t="s">
        <v>148</v>
      </c>
      <c r="H110" s="295">
        <f>IF(D103=0,0,D103)</f>
        <v>13549371.75999999</v>
      </c>
      <c r="I110" s="39" t="str">
        <f>IF(D103=0,"",A103)</f>
        <v xml:space="preserve">Caja, bancos </v>
      </c>
      <c r="J110" s="40">
        <f>+'9.Fuentes y empleos'!$H110/$H$126</f>
        <v>8.6614773334721725E-3</v>
      </c>
      <c r="K110" s="41">
        <f>+K109+'9.Fuentes y empleos'!$J110</f>
        <v>0.60216767898790835</v>
      </c>
      <c r="L110" s="41">
        <f>+'9.Fuentes y empleos'!$M110+L109</f>
        <v>2.2678073955662896E-2</v>
      </c>
      <c r="M110" s="40">
        <f>+'9.Fuentes y empleos'!$O110/$O$126</f>
        <v>0</v>
      </c>
      <c r="N110" s="39" t="str">
        <f>IF(E123=0,"",A123)</f>
        <v/>
      </c>
      <c r="O110" s="295">
        <f>IF(E123="","",E123)</f>
        <v>0</v>
      </c>
    </row>
    <row r="111" spans="1:15">
      <c r="A111" s="310" t="str">
        <f>+'1.Estado Situación'!A17</f>
        <v>Activo no corriente</v>
      </c>
      <c r="B111" s="311">
        <f>+'1.Estado Situación'!E17</f>
        <v>0</v>
      </c>
      <c r="C111" s="311">
        <f>+'1.Estado Situación'!D17</f>
        <v>0</v>
      </c>
      <c r="D111" s="311"/>
      <c r="E111" s="145"/>
      <c r="G111" s="1" t="s">
        <v>149</v>
      </c>
      <c r="H111" s="295">
        <f>IF(D134=0,0,D134)</f>
        <v>0</v>
      </c>
      <c r="I111" s="39" t="str">
        <f>IF(D134=0,"",A134)</f>
        <v/>
      </c>
      <c r="J111" s="40">
        <f>+'9.Fuentes y empleos'!$H111/$H$126</f>
        <v>0</v>
      </c>
      <c r="K111" s="41">
        <f>+K110+'9.Fuentes y empleos'!$J111</f>
        <v>0.60216767898790835</v>
      </c>
      <c r="L111" s="41">
        <f>+'9.Fuentes y empleos'!$M111+L110</f>
        <v>0.30574664467999207</v>
      </c>
      <c r="M111" s="40">
        <f>+'9.Fuentes y empleos'!$O111/$O$126</f>
        <v>0.28306857072432917</v>
      </c>
      <c r="N111" s="39" t="str">
        <f>IF(E127=0,"",A127)</f>
        <v>Préstamos por pagar corto plazo</v>
      </c>
      <c r="O111" s="295">
        <f>IF(E127="","",E127)</f>
        <v>442811445.51333332</v>
      </c>
    </row>
    <row r="112" spans="1:15">
      <c r="A112" s="24" t="str">
        <f>+'1.Estado Situación'!A18</f>
        <v>Propiedad planta y equipo</v>
      </c>
      <c r="B112" s="145">
        <f>+'1.Estado Situación'!E18</f>
        <v>2213567028.2733331</v>
      </c>
      <c r="C112" s="145">
        <f>+'1.Estado Situación'!D18</f>
        <v>2186838729.4200001</v>
      </c>
      <c r="D112" s="145">
        <f>IF(B112&gt;C112,0,(B112-C112)*-1)</f>
        <v>0</v>
      </c>
      <c r="E112" s="145">
        <f>IF(B112&gt;C112,(B112-C112),0)</f>
        <v>26728298.853332996</v>
      </c>
      <c r="F112" s="193">
        <f>((+B112-C112)*-1)-B142</f>
        <v>-56521634.906666324</v>
      </c>
      <c r="G112" s="1" t="s">
        <v>150</v>
      </c>
      <c r="H112" s="295">
        <f>IF(D135=0,0,D135)</f>
        <v>5784456.2733333334</v>
      </c>
      <c r="I112" s="39" t="str">
        <f>IF(D135=0,"",A135)</f>
        <v>Reserva legal</v>
      </c>
      <c r="J112" s="40">
        <f>+'9.Fuentes y empleos'!$H112/$H$126</f>
        <v>3.697731362412453E-3</v>
      </c>
      <c r="K112" s="41">
        <f>+K111+'9.Fuentes y empleos'!$J112</f>
        <v>0.60586541035032082</v>
      </c>
      <c r="L112" s="41">
        <f>+'9.Fuentes y empleos'!$M112+L111</f>
        <v>0.3082634585451558</v>
      </c>
      <c r="M112" s="40">
        <f>+'9.Fuentes y empleos'!$O112/$O$126</f>
        <v>2.5168138651637138E-3</v>
      </c>
      <c r="N112" s="39" t="str">
        <f>IF(E122=0,"",A122)</f>
        <v>Provisiones por pagar</v>
      </c>
      <c r="O112" s="295">
        <f>IF(E122="","",E122)</f>
        <v>3937116.6599999964</v>
      </c>
    </row>
    <row r="113" spans="1:15" ht="13.5" thickBot="1">
      <c r="A113" s="157" t="str">
        <f>+'1.Estado Situación'!A19</f>
        <v>Otros activos</v>
      </c>
      <c r="B113" s="158">
        <f>+'1.Estado Situación'!E19</f>
        <v>1017708255.7400001</v>
      </c>
      <c r="C113" s="158">
        <f>+'1.Estado Situación'!D19</f>
        <v>204647747.12666667</v>
      </c>
      <c r="D113" s="158">
        <f>IF(B113&gt;C113,0,(B113-C113)*-1)</f>
        <v>0</v>
      </c>
      <c r="E113" s="158">
        <f>IF(B113&gt;C113,(B113-C113),0)</f>
        <v>813060508.61333346</v>
      </c>
      <c r="G113" s="1" t="s">
        <v>151</v>
      </c>
      <c r="H113" s="295">
        <f>IF(D136=0,0,D136)</f>
        <v>0</v>
      </c>
      <c r="I113" s="39" t="str">
        <f>IF(D136=0,"",A136)</f>
        <v/>
      </c>
      <c r="J113" s="40">
        <f>+'9.Fuentes y empleos'!$H113/$H$126</f>
        <v>0</v>
      </c>
      <c r="K113" s="41">
        <f>+K112+'9.Fuentes y empleos'!$J113</f>
        <v>0.60586541035032082</v>
      </c>
      <c r="L113" s="41">
        <f>+'9.Fuentes y empleos'!$M113+L112</f>
        <v>0.36848117422737925</v>
      </c>
      <c r="M113" s="40">
        <f>+'9.Fuentes y empleos'!$O113/$O$126</f>
        <v>6.021771568222347E-2</v>
      </c>
      <c r="N113" s="39" t="str">
        <f>IF(E121=0,"",A121)</f>
        <v>Otras cuentas por pagar</v>
      </c>
      <c r="O113" s="295">
        <f>IF(E121="","",E121)</f>
        <v>94200121.400000006</v>
      </c>
    </row>
    <row r="114" spans="1:15" ht="14.25" thickTop="1" thickBot="1">
      <c r="A114" s="157" t="str">
        <f>+'1.Estado Situación'!A20</f>
        <v>Total activos no corrientes</v>
      </c>
      <c r="B114" s="158">
        <f>+'1.Estado Situación'!E20</f>
        <v>3231275284.0133338</v>
      </c>
      <c r="C114" s="158">
        <f>+'1.Estado Situación'!D20</f>
        <v>2391486476.5466666</v>
      </c>
      <c r="D114" s="158"/>
      <c r="E114" s="158"/>
      <c r="H114" s="145">
        <f>+B142</f>
        <v>29793336.053333331</v>
      </c>
      <c r="I114" s="45" t="s">
        <v>90</v>
      </c>
      <c r="J114" s="40">
        <f>+'9.Fuentes y empleos'!$H114/$H$126</f>
        <v>1.9045481184322165E-2</v>
      </c>
      <c r="K114" s="41">
        <f>+K113+'9.Fuentes y empleos'!$J114</f>
        <v>0.62491089153464296</v>
      </c>
      <c r="L114" s="41">
        <f>+'9.Fuentes y empleos'!$M114+L113</f>
        <v>0.36848117422737925</v>
      </c>
      <c r="M114" s="40">
        <f>+'9.Fuentes y empleos'!$O114/$O$126</f>
        <v>0</v>
      </c>
      <c r="N114" s="45" t="str">
        <f>IF(E120=0,"",A120)</f>
        <v/>
      </c>
      <c r="O114" s="145">
        <f>IF(E120="","",E120)</f>
        <v>0</v>
      </c>
    </row>
    <row r="115" spans="1:15" ht="13.5" thickTop="1">
      <c r="A115" s="310" t="str">
        <f>+'1.Estado Situación'!A21</f>
        <v>Total activos</v>
      </c>
      <c r="B115" s="311">
        <f>+'1.Estado Situación'!E21</f>
        <v>5452583548.2333336</v>
      </c>
      <c r="C115" s="311">
        <f>+'1.Estado Situación'!D21</f>
        <v>5456405814.3866663</v>
      </c>
      <c r="D115" s="311"/>
      <c r="E115" s="311"/>
      <c r="G115" s="1" t="s">
        <v>152</v>
      </c>
      <c r="H115" s="295">
        <f>IF(D137=0,0,D137)</f>
        <v>0</v>
      </c>
      <c r="I115" s="39" t="str">
        <f>IF(D137=0,"",A137)</f>
        <v/>
      </c>
      <c r="J115" s="40">
        <f>+'9.Fuentes y empleos'!$H115/$H$126</f>
        <v>0</v>
      </c>
      <c r="K115" s="41">
        <f>+K114+'9.Fuentes y empleos'!$J115</f>
        <v>0.62491089153464296</v>
      </c>
      <c r="L115" s="41">
        <f>+'9.Fuentes y empleos'!$M115+L114</f>
        <v>0.36848117422737925</v>
      </c>
      <c r="M115" s="40">
        <f>+'9.Fuentes y empleos'!$O115/$O$126</f>
        <v>0</v>
      </c>
      <c r="N115" s="39" t="str">
        <f>IF(E119=0,"",A119)</f>
        <v/>
      </c>
      <c r="O115" s="295">
        <f>IF(E119="","",E119)</f>
        <v>0</v>
      </c>
    </row>
    <row r="116" spans="1:15">
      <c r="A116" s="24"/>
      <c r="B116" s="145"/>
      <c r="C116" s="145"/>
      <c r="D116" s="145"/>
      <c r="E116" s="145"/>
      <c r="G116" s="1" t="s">
        <v>154</v>
      </c>
      <c r="H116" s="295">
        <f>IF(D123=0,0,D123)</f>
        <v>19081545.866666675</v>
      </c>
      <c r="I116" s="39" t="str">
        <f>IF(D123=0,"",A123)</f>
        <v>Reserva contratos ahorro y crédito largo plazo</v>
      </c>
      <c r="J116" s="40">
        <f>+'9.Fuentes y empleos'!$H116/$H$126</f>
        <v>1.219793654932848E-2</v>
      </c>
      <c r="K116" s="41">
        <f>+K115+'9.Fuentes y empleos'!$J116</f>
        <v>0.6371088280839714</v>
      </c>
      <c r="L116" s="41">
        <f>+'9.Fuentes y empleos'!$M116+L115</f>
        <v>0.38123023515531762</v>
      </c>
      <c r="M116" s="40">
        <f>+'9.Fuentes y empleos'!$O116/$O$126</f>
        <v>1.2749060927938351E-2</v>
      </c>
      <c r="N116" s="39" t="str">
        <f>IF(E118=0,"",A118)</f>
        <v>Reserva contratos ahorro y crédito corto plazo</v>
      </c>
      <c r="O116" s="295">
        <f>IF(E118="","",E118)</f>
        <v>19943683.90666667</v>
      </c>
    </row>
    <row r="117" spans="1:15">
      <c r="A117" s="24" t="str">
        <f>+'1.Estado Situación'!A23</f>
        <v>Cuentas por pagar</v>
      </c>
      <c r="B117" s="145">
        <f>+'1.Estado Situación'!E23</f>
        <v>1846115543.3933334</v>
      </c>
      <c r="C117" s="145">
        <f>+'1.Estado Situación'!D23</f>
        <v>1518609648.5666666</v>
      </c>
      <c r="D117" s="145">
        <f>IF(B117&lt;C117,0,(B117-C117))</f>
        <v>327505894.82666683</v>
      </c>
      <c r="E117" s="145">
        <f t="shared" ref="E117:E123" si="10">IF(B117&lt;C117,(B117-C117)*-1,0)</f>
        <v>0</v>
      </c>
      <c r="G117" s="1" t="s">
        <v>153</v>
      </c>
      <c r="H117" s="295">
        <f>IF(D128=0,0,D128)</f>
        <v>148873839.83999991</v>
      </c>
      <c r="I117" s="39" t="str">
        <f>IF(D128=0,"",A128)</f>
        <v>Préstamos por pagar largo plazo</v>
      </c>
      <c r="J117" s="40">
        <f>+'9.Fuentes y empleos'!$H117/$H$126</f>
        <v>9.516805739494498E-2</v>
      </c>
      <c r="K117" s="41">
        <f>+K116+'9.Fuentes y empleos'!$J117</f>
        <v>0.73227688547891634</v>
      </c>
      <c r="L117" s="41">
        <f>+'9.Fuentes y empleos'!$M117+L116</f>
        <v>0.38123023515531762</v>
      </c>
      <c r="M117" s="40">
        <f>+'9.Fuentes y empleos'!$O117/$O$126</f>
        <v>0</v>
      </c>
      <c r="N117" s="39" t="str">
        <f>IF(E117=0,"",A117)</f>
        <v/>
      </c>
      <c r="O117" s="295">
        <f>IF(E117="","",E117)</f>
        <v>0</v>
      </c>
    </row>
    <row r="118" spans="1:15">
      <c r="A118" s="24" t="str">
        <f>+'1.Estado Situación'!A24</f>
        <v>Reserva contratos ahorro y crédito corto plazo</v>
      </c>
      <c r="B118" s="145">
        <f>+'1.Estado Situación'!E24</f>
        <v>28745245.713333335</v>
      </c>
      <c r="C118" s="145">
        <f>+'1.Estado Situación'!D24</f>
        <v>48688929.620000005</v>
      </c>
      <c r="D118" s="145">
        <f t="shared" ref="D118:D123" si="11">IF(B118&lt;C118,0,(B118-C118))</f>
        <v>0</v>
      </c>
      <c r="E118" s="145">
        <f t="shared" si="10"/>
        <v>19943683.90666667</v>
      </c>
      <c r="G118" s="1" t="s">
        <v>162</v>
      </c>
      <c r="H118" s="295">
        <f>IF(D129=0,0,D129)</f>
        <v>78671798.926666662</v>
      </c>
      <c r="I118" s="39" t="str">
        <f>IF(D129=0,"",A129)</f>
        <v>Hipotecas por pagar</v>
      </c>
      <c r="J118" s="40">
        <f>+'9.Fuentes y empleos'!$H118/$H$126</f>
        <v>5.0291188053342199E-2</v>
      </c>
      <c r="K118" s="41">
        <f>+K117+'9.Fuentes y empleos'!$J118</f>
        <v>0.78256807353225855</v>
      </c>
      <c r="L118" s="41">
        <f>+'9.Fuentes y empleos'!$M118+L117</f>
        <v>0.41736186312054518</v>
      </c>
      <c r="M118" s="40">
        <f>+'9.Fuentes y empleos'!$O118/$O$126</f>
        <v>3.613162796522755E-2</v>
      </c>
      <c r="N118" s="39" t="str">
        <f>IF(F112&lt;0,A112,"")</f>
        <v>Propiedad planta y equipo</v>
      </c>
      <c r="O118" s="295">
        <f>IF(F112&lt;0,-F112,0)</f>
        <v>56521634.906666324</v>
      </c>
    </row>
    <row r="119" spans="1:15">
      <c r="A119" s="24" t="str">
        <f>+'1.Estado Situación'!A25</f>
        <v>Impuestos por pagar</v>
      </c>
      <c r="B119" s="145">
        <f>+'1.Estado Situación'!E25</f>
        <v>25359242.34</v>
      </c>
      <c r="C119" s="145">
        <f>+'1.Estado Situación'!D25</f>
        <v>13211948.406666666</v>
      </c>
      <c r="D119" s="145">
        <f t="shared" si="11"/>
        <v>12147293.933333334</v>
      </c>
      <c r="E119" s="145">
        <f t="shared" si="10"/>
        <v>0</v>
      </c>
      <c r="G119" s="1" t="s">
        <v>161</v>
      </c>
      <c r="H119" s="47">
        <f>IF(D127=0,0,D127)</f>
        <v>0</v>
      </c>
      <c r="I119" s="39" t="str">
        <f>IF(D127=0,"",A127)</f>
        <v/>
      </c>
      <c r="J119" s="40">
        <f>+'9.Fuentes y empleos'!$H119/$H$126</f>
        <v>0</v>
      </c>
      <c r="K119" s="41">
        <f>+K118+'9.Fuentes y empleos'!$J119</f>
        <v>0.78256807353225855</v>
      </c>
      <c r="L119" s="41">
        <f>+'9.Fuentes y empleos'!$M119+L118</f>
        <v>0.93711327970546821</v>
      </c>
      <c r="M119" s="40">
        <f>+'9.Fuentes y empleos'!$O119/$O$126</f>
        <v>0.51975141658492297</v>
      </c>
      <c r="N119" s="39" t="str">
        <f>IF(E113=0,"",A113)</f>
        <v>Otros activos</v>
      </c>
      <c r="O119" s="295">
        <f>IF(E113="","",E113)</f>
        <v>813060508.61333346</v>
      </c>
    </row>
    <row r="120" spans="1:15">
      <c r="A120" s="24" t="str">
        <f>+'1.Estado Situación'!A26</f>
        <v>Retenciones y aportes por pagar</v>
      </c>
      <c r="B120" s="145">
        <f>+'1.Estado Situación'!E26</f>
        <v>21719457.153333332</v>
      </c>
      <c r="C120" s="145">
        <f>+'1.Estado Situación'!D26</f>
        <v>21238291.140000001</v>
      </c>
      <c r="D120" s="145">
        <f t="shared" si="11"/>
        <v>481166.01333333179</v>
      </c>
      <c r="E120" s="145">
        <f t="shared" si="10"/>
        <v>0</v>
      </c>
      <c r="G120" s="1" t="s">
        <v>160</v>
      </c>
      <c r="H120" s="47">
        <f>IF(D122=0,0,D122)</f>
        <v>0</v>
      </c>
      <c r="I120" s="39" t="str">
        <f>IF(D122=0,"",A122)</f>
        <v/>
      </c>
      <c r="J120" s="40">
        <f>+'9.Fuentes y empleos'!$H120/$H$126</f>
        <v>0</v>
      </c>
      <c r="K120" s="41">
        <f>+K119+'9.Fuentes y empleos'!$J120</f>
        <v>0.78256807353225855</v>
      </c>
      <c r="L120" s="41">
        <f>+'9.Fuentes y empleos'!$M120+L119</f>
        <v>0.93711327970546821</v>
      </c>
      <c r="M120" s="40">
        <f>+'9.Fuentes y empleos'!$O120/$O$126</f>
        <v>0</v>
      </c>
      <c r="N120" s="39" t="str">
        <f>IF(E108=0,"",A108)</f>
        <v/>
      </c>
      <c r="O120" s="295">
        <f>IF(E108="","",E108)</f>
        <v>0</v>
      </c>
    </row>
    <row r="121" spans="1:15">
      <c r="A121" s="24" t="str">
        <f>+'1.Estado Situación'!A27</f>
        <v>Otras cuentas por pagar</v>
      </c>
      <c r="B121" s="145">
        <f>+'1.Estado Situación'!E27</f>
        <v>57496381.733333327</v>
      </c>
      <c r="C121" s="145">
        <f>+'1.Estado Situación'!D27</f>
        <v>151696503.13333333</v>
      </c>
      <c r="D121" s="145">
        <f t="shared" si="11"/>
        <v>0</v>
      </c>
      <c r="E121" s="145">
        <f t="shared" si="10"/>
        <v>94200121.400000006</v>
      </c>
      <c r="G121" s="1" t="s">
        <v>155</v>
      </c>
      <c r="H121" s="47">
        <f>IF(D121=0,0,D121)</f>
        <v>0</v>
      </c>
      <c r="I121" s="39" t="str">
        <f>IF(D121=0,"",A121)</f>
        <v/>
      </c>
      <c r="J121" s="40">
        <f>+'9.Fuentes y empleos'!$H121/$H$126</f>
        <v>0</v>
      </c>
      <c r="K121" s="41">
        <f>+K120+'9.Fuentes y empleos'!$J121</f>
        <v>0.78256807353225855</v>
      </c>
      <c r="L121" s="41">
        <f>+'9.Fuentes y empleos'!$M121+L120</f>
        <v>0.98911119067486986</v>
      </c>
      <c r="M121" s="40">
        <f>+'9.Fuentes y empleos'!$O121/$O$126</f>
        <v>5.1997910969401658E-2</v>
      </c>
      <c r="N121" s="39" t="str">
        <f>IF(E107=0,"",A107)</f>
        <v>Inventario</v>
      </c>
      <c r="O121" s="295">
        <f>IF(E107="","",E107)</f>
        <v>81341669.4799999</v>
      </c>
    </row>
    <row r="122" spans="1:15">
      <c r="A122" s="24" t="str">
        <f>+'1.Estado Situación'!A28</f>
        <v>Provisiones por pagar</v>
      </c>
      <c r="B122" s="145">
        <f>+'1.Estado Situación'!E28</f>
        <v>59637301.600000001</v>
      </c>
      <c r="C122" s="145">
        <f>+'1.Estado Situación'!D28</f>
        <v>63574418.259999998</v>
      </c>
      <c r="D122" s="145">
        <f t="shared" si="11"/>
        <v>0</v>
      </c>
      <c r="E122" s="145">
        <f t="shared" si="10"/>
        <v>3937116.6599999964</v>
      </c>
      <c r="G122" s="1" t="s">
        <v>156</v>
      </c>
      <c r="H122" s="47">
        <f>IF(D120=0,0,D120)</f>
        <v>481166.01333333179</v>
      </c>
      <c r="I122" s="39" t="str">
        <f>IF(D120=0,"",A120)</f>
        <v>Retenciones y aportes por pagar</v>
      </c>
      <c r="J122" s="40">
        <f>+'9.Fuentes y empleos'!$H122/$H$126</f>
        <v>3.0758684549694762E-4</v>
      </c>
      <c r="K122" s="41">
        <f>+K121+'9.Fuentes y empleos'!$J122</f>
        <v>0.78287566037775547</v>
      </c>
      <c r="L122" s="41">
        <f>+'9.Fuentes y empleos'!$M122+L121</f>
        <v>0.98911119067486986</v>
      </c>
      <c r="M122" s="40">
        <f>+'9.Fuentes y empleos'!$O122/$O$126</f>
        <v>0</v>
      </c>
      <c r="N122" s="39" t="str">
        <f>IF(E106=0,"",A106)</f>
        <v/>
      </c>
      <c r="O122" s="295">
        <f>IF(E106="","",E106)</f>
        <v>0</v>
      </c>
    </row>
    <row r="123" spans="1:15" ht="13.5" thickBot="1">
      <c r="A123" s="157" t="str">
        <f>+'1.Estado Situación'!A29</f>
        <v>Reserva contratos ahorro y crédito largo plazo</v>
      </c>
      <c r="B123" s="158">
        <f>+'1.Estado Situación'!E29</f>
        <v>122545521.2</v>
      </c>
      <c r="C123" s="158">
        <f>+'1.Estado Situación'!D29</f>
        <v>103463975.33333333</v>
      </c>
      <c r="D123" s="158">
        <f t="shared" si="11"/>
        <v>19081545.866666675</v>
      </c>
      <c r="E123" s="158">
        <f t="shared" si="10"/>
        <v>0</v>
      </c>
      <c r="G123" s="1" t="s">
        <v>157</v>
      </c>
      <c r="H123" s="47">
        <f>IF(D119=0,0,D119)</f>
        <v>12147293.933333334</v>
      </c>
      <c r="I123" s="39" t="str">
        <f>IF(D119=0,"",A119)</f>
        <v>Impuestos por pagar</v>
      </c>
      <c r="J123" s="40">
        <f>+'9.Fuentes y empleos'!$H123/$H$126</f>
        <v>7.7651947950235275E-3</v>
      </c>
      <c r="K123" s="41">
        <f>+K122+'9.Fuentes y empleos'!$J123</f>
        <v>0.79064085517277904</v>
      </c>
      <c r="L123" s="41">
        <f>+'9.Fuentes y empleos'!$M123+L122</f>
        <v>0.98911119067486986</v>
      </c>
      <c r="M123" s="40">
        <f>+'9.Fuentes y empleos'!$O123/$O$126</f>
        <v>0</v>
      </c>
      <c r="N123" s="39" t="str">
        <f>IF(E105=0,"",A105)</f>
        <v/>
      </c>
      <c r="O123" s="295">
        <f>IF(E105="","",E105)</f>
        <v>0</v>
      </c>
    </row>
    <row r="124" spans="1:15" ht="14.25" thickTop="1" thickBot="1">
      <c r="A124" s="157" t="str">
        <f>+'1.Estado Situación'!A30</f>
        <v>Pasivos sin costo</v>
      </c>
      <c r="B124" s="158">
        <f>+'1.Estado Situación'!E30</f>
        <v>2161618693.1333337</v>
      </c>
      <c r="C124" s="158">
        <f>+'1.Estado Situación'!D30</f>
        <v>1920483714.4599998</v>
      </c>
      <c r="D124" s="158"/>
      <c r="E124" s="158"/>
      <c r="G124" s="1" t="s">
        <v>158</v>
      </c>
      <c r="H124" s="47">
        <f>IF(D118=0,0,D118)</f>
        <v>0</v>
      </c>
      <c r="I124" s="39" t="str">
        <f>IF(D118=0,"",A118)</f>
        <v/>
      </c>
      <c r="J124" s="40">
        <f>+'9.Fuentes y empleos'!$H124/$H$126</f>
        <v>0</v>
      </c>
      <c r="K124" s="41">
        <f>+K123+'9.Fuentes y empleos'!$J124</f>
        <v>0.79064085517277904</v>
      </c>
      <c r="L124" s="41">
        <f>+'9.Fuentes y empleos'!$M124+L123</f>
        <v>1</v>
      </c>
      <c r="M124" s="40">
        <f>+'9.Fuentes y empleos'!$O124/$O$126</f>
        <v>1.0888809325130182E-2</v>
      </c>
      <c r="N124" s="39" t="str">
        <f>IF(E104=0,"",A104)</f>
        <v>Inversiones transitorias</v>
      </c>
      <c r="O124" s="295">
        <f>IF(E104="","",E104)</f>
        <v>17033644.48</v>
      </c>
    </row>
    <row r="125" spans="1:15" ht="14.25" thickTop="1" thickBot="1">
      <c r="A125" s="310" t="str">
        <f>+'1.Estado Situación'!A31</f>
        <v>Activo neto</v>
      </c>
      <c r="B125" s="311">
        <f>+'1.Estado Situación'!E31</f>
        <v>3290964855.0999999</v>
      </c>
      <c r="C125" s="311">
        <f>+'1.Estado Situación'!D31</f>
        <v>3535922099.9266667</v>
      </c>
      <c r="D125" s="311"/>
      <c r="E125" s="145"/>
      <c r="G125" s="1" t="s">
        <v>159</v>
      </c>
      <c r="H125" s="296">
        <f>IF(D117=0,0,D117)</f>
        <v>327505894.82666683</v>
      </c>
      <c r="I125" s="195" t="str">
        <f>IF(D117=0,"",A117)</f>
        <v>Cuentas por pagar</v>
      </c>
      <c r="J125" s="196">
        <f>+'9.Fuentes y empleos'!$H125/$H$126</f>
        <v>0.20935914482722098</v>
      </c>
      <c r="K125" s="197">
        <f>+K124+'9.Fuentes y empleos'!$J125</f>
        <v>1</v>
      </c>
      <c r="L125" s="197">
        <f>+'9.Fuentes y empleos'!$M125+L124</f>
        <v>1</v>
      </c>
      <c r="M125" s="196">
        <f>+'9.Fuentes y empleos'!$O125/$O$126</f>
        <v>0</v>
      </c>
      <c r="N125" s="195" t="str">
        <f>IF(E103=0,"",A103)</f>
        <v/>
      </c>
      <c r="O125" s="296">
        <f>IF(E103="","",E103)</f>
        <v>0</v>
      </c>
    </row>
    <row r="126" spans="1:15" ht="13.5" thickTop="1">
      <c r="A126" s="24"/>
      <c r="B126" s="145"/>
      <c r="C126" s="145"/>
      <c r="D126" s="145"/>
      <c r="E126" s="145"/>
      <c r="H126" s="297">
        <f>SUBTOTAL(109,H102:H125)</f>
        <v>1564325719.3133335</v>
      </c>
      <c r="I126" s="298" t="s">
        <v>136</v>
      </c>
      <c r="J126" s="299">
        <f>SUBTOTAL(109,J102:J125)</f>
        <v>1</v>
      </c>
      <c r="K126" s="300"/>
      <c r="L126" s="300"/>
      <c r="M126" s="299">
        <f>SUBTOTAL(109,M102:M125)</f>
        <v>1</v>
      </c>
      <c r="N126" s="301" t="s">
        <v>137</v>
      </c>
      <c r="O126" s="297">
        <f>SUBTOTAL(109,O102:O125)</f>
        <v>1564325719.313333</v>
      </c>
    </row>
    <row r="127" spans="1:15">
      <c r="A127" s="24" t="str">
        <f>+'1.Estado Situación'!A33</f>
        <v>Préstamos por pagar corto plazo</v>
      </c>
      <c r="B127" s="145">
        <f>+'1.Estado Situación'!E33</f>
        <v>219476738.86666667</v>
      </c>
      <c r="C127" s="145">
        <f>+'1.Estado Situación'!D33</f>
        <v>662288184.38</v>
      </c>
      <c r="D127" s="145">
        <f>IF(B127&lt;C127,0,(B127-C127))</f>
        <v>0</v>
      </c>
      <c r="E127" s="145">
        <f>IF(B127&lt;C127,(B127-C127)*-1,0)</f>
        <v>442811445.51333332</v>
      </c>
      <c r="H127" s="50">
        <f>+H126-O126</f>
        <v>0</v>
      </c>
      <c r="I127" s="39" t="str">
        <f>IF(D142="","",A142)</f>
        <v/>
      </c>
      <c r="J127" s="40"/>
      <c r="K127" s="41"/>
      <c r="L127" s="41"/>
      <c r="M127" s="40"/>
      <c r="N127" s="51"/>
      <c r="O127" s="52"/>
    </row>
    <row r="128" spans="1:15">
      <c r="A128" s="24" t="str">
        <f>+'1.Estado Situación'!A34</f>
        <v>Préstamos por pagar largo plazo</v>
      </c>
      <c r="B128" s="145">
        <f>+'1.Estado Situación'!E34</f>
        <v>909760133.19999993</v>
      </c>
      <c r="C128" s="145">
        <f>+'1.Estado Situación'!D34</f>
        <v>760886293.36000001</v>
      </c>
      <c r="D128" s="145">
        <f>IF(B128&lt;C128,0,(B128-C128))</f>
        <v>148873839.83999991</v>
      </c>
      <c r="E128" s="145">
        <f>IF(B128&lt;C128,(B128-C128)*-1,0)</f>
        <v>0</v>
      </c>
      <c r="H128" s="8"/>
      <c r="I128" s="3"/>
      <c r="J128" s="4"/>
      <c r="K128" s="5"/>
      <c r="L128" s="5"/>
      <c r="M128" s="4"/>
      <c r="N128" s="6"/>
      <c r="O128" s="7"/>
    </row>
    <row r="129" spans="1:15" ht="13.5" thickBot="1">
      <c r="A129" s="157" t="str">
        <f>+'1.Estado Situación'!A35</f>
        <v>Hipotecas por pagar</v>
      </c>
      <c r="B129" s="158">
        <f>+'1.Estado Situación'!E35</f>
        <v>78671798.926666662</v>
      </c>
      <c r="C129" s="158">
        <f>+'1.Estado Situación'!D35</f>
        <v>0</v>
      </c>
      <c r="D129" s="158">
        <f>IF(B129&lt;C129,0,(B129-C129))</f>
        <v>78671798.926666662</v>
      </c>
      <c r="E129" s="158">
        <f>IF(B129&lt;C129,(B129-C129)*-1,0)</f>
        <v>0</v>
      </c>
      <c r="H129" s="45"/>
      <c r="J129" s="40"/>
      <c r="K129" s="41"/>
      <c r="L129" s="41"/>
      <c r="M129" s="40"/>
      <c r="N129" s="51"/>
      <c r="O129" s="52"/>
    </row>
    <row r="130" spans="1:15" ht="14.25" thickTop="1" thickBot="1">
      <c r="A130" s="157" t="str">
        <f>+'1.Estado Situación'!A36</f>
        <v>Pasivo con costo</v>
      </c>
      <c r="B130" s="158">
        <f>+'1.Estado Situación'!E36</f>
        <v>1207908670.9933333</v>
      </c>
      <c r="C130" s="158">
        <f>+'1.Estado Situación'!D36</f>
        <v>1423174477.74</v>
      </c>
      <c r="D130" s="158"/>
      <c r="E130" s="158">
        <f>IF(B130&lt;C130,(B130-C130)*-1,0)</f>
        <v>215265806.74666667</v>
      </c>
      <c r="H130" s="45"/>
      <c r="I130" s="534" t="s">
        <v>138</v>
      </c>
      <c r="J130" s="534"/>
      <c r="K130" s="534"/>
      <c r="L130" s="534"/>
      <c r="M130" s="534"/>
      <c r="N130" s="534"/>
      <c r="O130" s="52"/>
    </row>
    <row r="131" spans="1:15" ht="13.5" thickTop="1">
      <c r="A131" s="53" t="str">
        <f>+'1.Estado Situación'!A37</f>
        <v>Total pasivo</v>
      </c>
      <c r="B131" s="311">
        <f>+'1.Estado Situación'!E37</f>
        <v>3369527364.126667</v>
      </c>
      <c r="C131" s="311">
        <f>+'1.Estado Situación'!D37</f>
        <v>3343658192.1999993</v>
      </c>
      <c r="D131" s="311"/>
      <c r="E131" s="145"/>
      <c r="H131" s="45"/>
      <c r="I131" s="55" t="s">
        <v>86</v>
      </c>
      <c r="J131" s="56"/>
      <c r="K131" s="41">
        <f>+K118</f>
        <v>0.78256807353225855</v>
      </c>
      <c r="L131" s="41">
        <f>+L120</f>
        <v>0.93711327970546821</v>
      </c>
      <c r="M131" s="55"/>
      <c r="N131" s="55" t="s">
        <v>139</v>
      </c>
      <c r="O131" s="52"/>
    </row>
    <row r="132" spans="1:15">
      <c r="A132" s="54"/>
      <c r="B132" s="145"/>
      <c r="C132" s="145"/>
      <c r="D132" s="145"/>
      <c r="E132" s="145"/>
      <c r="H132" s="45"/>
      <c r="I132" s="55" t="s">
        <v>87</v>
      </c>
      <c r="J132" s="56"/>
      <c r="K132" s="41">
        <f>1-K131</f>
        <v>0.21743192646774145</v>
      </c>
      <c r="L132" s="41">
        <f>1-L131</f>
        <v>6.2886720294531795E-2</v>
      </c>
      <c r="M132" s="55"/>
      <c r="N132" s="55" t="s">
        <v>88</v>
      </c>
      <c r="O132" s="52"/>
    </row>
    <row r="133" spans="1:15">
      <c r="A133" s="310" t="str">
        <f>+'1.Estado Situación'!A39</f>
        <v>Patrimonio</v>
      </c>
      <c r="B133" s="311">
        <f>+'1.Estado Situación'!E39</f>
        <v>0</v>
      </c>
      <c r="C133" s="311">
        <f>+'1.Estado Situación'!D39</f>
        <v>0</v>
      </c>
      <c r="D133" s="311"/>
      <c r="E133" s="145"/>
      <c r="H133" s="45"/>
      <c r="I133" s="57" t="s">
        <v>89</v>
      </c>
      <c r="J133" s="58"/>
      <c r="K133" s="59">
        <v>1</v>
      </c>
      <c r="L133" s="59">
        <v>1</v>
      </c>
      <c r="M133" s="60"/>
      <c r="N133" s="57" t="s">
        <v>89</v>
      </c>
      <c r="O133" s="52"/>
    </row>
    <row r="134" spans="1:15">
      <c r="A134" s="24" t="str">
        <f>+'1.Estado Situación'!A40</f>
        <v>Capital acciones</v>
      </c>
      <c r="B134" s="145">
        <f>+'1.Estado Situación'!E40</f>
        <v>1182866666.6666667</v>
      </c>
      <c r="C134" s="145">
        <f>+'1.Estado Situación'!D40</f>
        <v>1182866666.6666667</v>
      </c>
      <c r="D134" s="145">
        <f>IF(B134&lt;C134,0,(B134-C134))</f>
        <v>0</v>
      </c>
      <c r="E134" s="145">
        <f>IF(B134&lt;C134,(B134-C134)*-1,0)</f>
        <v>0</v>
      </c>
      <c r="H134" s="52"/>
      <c r="I134" s="39"/>
      <c r="J134" s="40"/>
      <c r="K134" s="41"/>
      <c r="L134" s="41"/>
      <c r="M134" s="40"/>
      <c r="N134" s="51"/>
      <c r="O134" s="52"/>
    </row>
    <row r="135" spans="1:15" ht="15.75">
      <c r="A135" s="24" t="str">
        <f>+'1.Estado Situación'!A41</f>
        <v>Reserva legal</v>
      </c>
      <c r="B135" s="145">
        <f>+'1.Estado Situación'!E41</f>
        <v>26800753.926666666</v>
      </c>
      <c r="C135" s="145">
        <f>+'1.Estado Situación'!D41</f>
        <v>21016297.653333332</v>
      </c>
      <c r="D135" s="145">
        <f>IF(B135&lt;C135,0,(B135-C135))</f>
        <v>5784456.2733333334</v>
      </c>
      <c r="E135" s="145">
        <f>IF(B135&lt;C135,(B135-C135)*-1,0)</f>
        <v>0</v>
      </c>
      <c r="H135" s="52"/>
      <c r="I135" s="61" t="s">
        <v>117</v>
      </c>
      <c r="J135" s="40"/>
      <c r="K135" s="41"/>
      <c r="L135" s="41"/>
      <c r="M135" s="40"/>
      <c r="N135" s="51"/>
      <c r="O135" s="52"/>
    </row>
    <row r="136" spans="1:15" ht="15">
      <c r="A136" s="24" t="str">
        <f>+'1.Estado Situación'!A42</f>
        <v xml:space="preserve">Superavti por revaluación </v>
      </c>
      <c r="B136" s="145">
        <f>+'1.Estado Situación'!E42</f>
        <v>730555206.85333335</v>
      </c>
      <c r="C136" s="145">
        <f>+'1.Estado Situación'!D42</f>
        <v>730555206.85333335</v>
      </c>
      <c r="D136" s="145">
        <f>IF(B136&lt;C136,0,(B136-C136))</f>
        <v>0</v>
      </c>
      <c r="E136" s="145">
        <f>IF(B136&lt;C136,(B136-C136)*-1,0)</f>
        <v>0</v>
      </c>
      <c r="H136" s="52"/>
      <c r="I136" s="62" t="str">
        <f>IF(K131&gt;L131,"Sí existe equilibrio, porque las fuentes menos exigibles financian (superan) los empleos menos líquidos.","No existe equilibrio, porque las fuentes menos exigibles no están financiando (superan) los empleos menos líquidos.")</f>
        <v>No existe equilibrio, porque las fuentes menos exigibles no están financiando (superan) los empleos menos líquidos.</v>
      </c>
      <c r="J136" s="40"/>
      <c r="K136" s="41"/>
      <c r="L136" s="41"/>
      <c r="M136" s="40"/>
      <c r="N136" s="51"/>
      <c r="O136" s="52"/>
    </row>
    <row r="137" spans="1:15" ht="13.5" thickBot="1">
      <c r="A137" s="157" t="str">
        <f>+'1.Estado Situación'!A43</f>
        <v>Utilidades</v>
      </c>
      <c r="B137" s="158">
        <f>+'1.Estado Situación'!E43</f>
        <v>142833556.66</v>
      </c>
      <c r="C137" s="158">
        <f>+'1.Estado Situación'!D43</f>
        <v>178309451.01333332</v>
      </c>
      <c r="D137" s="158">
        <f>IF(B137&lt;C137,0,(B137-C137))</f>
        <v>0</v>
      </c>
      <c r="E137" s="158">
        <f>IF(B137&lt;C137,(B137-C137)*-1,0)</f>
        <v>35475894.353333324</v>
      </c>
    </row>
    <row r="138" spans="1:15" ht="14.25" thickTop="1" thickBot="1">
      <c r="A138" s="157" t="str">
        <f>+'1.Estado Situación'!A44</f>
        <v>Total patrimonio</v>
      </c>
      <c r="B138" s="158">
        <f>+'1.Estado Situación'!E44</f>
        <v>2083056184.1066666</v>
      </c>
      <c r="C138" s="158">
        <f>+'1.Estado Situación'!D44</f>
        <v>2112747622.1866667</v>
      </c>
      <c r="D138" s="158"/>
      <c r="E138" s="158"/>
    </row>
    <row r="139" spans="1:15" ht="13.5" thickTop="1">
      <c r="A139" s="310" t="str">
        <f>+'1.Estado Situación'!A45</f>
        <v>Total pasivo y patrimonio</v>
      </c>
      <c r="B139" s="311">
        <f>+'1.Estado Situación'!E45</f>
        <v>3290964855.0999999</v>
      </c>
      <c r="C139" s="311">
        <f>+'1.Estado Situación'!D45</f>
        <v>3535922099.9266667</v>
      </c>
      <c r="D139" s="311"/>
      <c r="E139" s="145"/>
    </row>
    <row r="140" spans="1:15">
      <c r="A140" s="24"/>
      <c r="B140" s="145">
        <f>+B139-B125</f>
        <v>0</v>
      </c>
      <c r="C140" s="145">
        <f>+C139-C125</f>
        <v>0</v>
      </c>
      <c r="D140" s="145">
        <f>SUBTOTAL(109,D101:D139)</f>
        <v>1534532383.2600002</v>
      </c>
      <c r="E140" s="145">
        <f>IF(C140&gt;D140,0,(C140-D140)*-1)</f>
        <v>1534532383.2600002</v>
      </c>
    </row>
    <row r="142" spans="1:15">
      <c r="A142" s="15" t="s">
        <v>90</v>
      </c>
      <c r="B142" s="32">
        <f>+'2.Estado Resultados'!E25</f>
        <v>29793336.053333331</v>
      </c>
    </row>
    <row r="143" spans="1:15">
      <c r="A143" s="15" t="s">
        <v>85</v>
      </c>
      <c r="B143" s="32">
        <v>0</v>
      </c>
    </row>
  </sheetData>
  <mergeCells count="5">
    <mergeCell ref="I130:N130"/>
    <mergeCell ref="I35:N35"/>
    <mergeCell ref="H54:K54"/>
    <mergeCell ref="L54:O54"/>
    <mergeCell ref="I84:N84"/>
  </mergeCells>
  <hyperlinks>
    <hyperlink ref="A1" location="Indice!A1" display="Volver a la página del Indice"/>
  </hyperlinks>
  <pageMargins left="0.7" right="0.7" top="0.75" bottom="0.75" header="0.3" footer="0.3"/>
  <pageSetup orientation="portrait" horizontalDpi="4294967293" verticalDpi="0" r:id="rId1"/>
  <ignoredErrors>
    <ignoredError sqref="B8:O10 B6:C6 G36:K36 M36:O36 G34:O35 B62:I62 B41:C41 B87:O94 B85:K85 M85:O85 B144:O168 D132:F132 M131:O131 G106:I106 G132:O143 G131:K131 F104:I105 G11:O11 G37:O49 B50:O51 F56:O57 B64:I68 D63:M63 B80:O84 D69:K69 B60:G61 B70:I78 N76:O78 D79:L79 N79:O79 F58:K58 N58:O58 G128:O130 G126 G127 N106:O106 N104:O105 B101:O103 B99:G99 I99:O99 B98:G98 I98:O98 B96:O97 C95:O95 B54:O55 F52:O52 F53:O53 F100:G100 D86:O86" calculatedColumn="1"/>
  </ignoredErrors>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11.xml><?xml version="1.0" encoding="utf-8"?>
<worksheet xmlns="http://schemas.openxmlformats.org/spreadsheetml/2006/main" xmlns:r="http://schemas.openxmlformats.org/officeDocument/2006/relationships">
  <dimension ref="A1:Z1271"/>
  <sheetViews>
    <sheetView showGridLines="0" topLeftCell="A68" workbookViewId="0">
      <selection activeCell="J77" sqref="J77"/>
    </sheetView>
  </sheetViews>
  <sheetFormatPr defaultColWidth="11.42578125" defaultRowHeight="12.75"/>
  <cols>
    <col min="1" max="1" width="49.28515625" style="69" bestFit="1" customWidth="1"/>
    <col min="2" max="2" width="20.28515625" style="69" customWidth="1"/>
    <col min="3" max="3" width="18.140625" style="69" customWidth="1"/>
    <col min="4" max="4" width="9.28515625" style="69" bestFit="1" customWidth="1"/>
    <col min="5" max="5" width="18.7109375" style="69" bestFit="1" customWidth="1"/>
    <col min="6" max="6" width="9.28515625" style="69" bestFit="1" customWidth="1"/>
    <col min="7" max="7" width="17.5703125" style="69" bestFit="1" customWidth="1"/>
    <col min="8" max="8" width="10" style="70" bestFit="1" customWidth="1"/>
    <col min="9" max="9" width="7.85546875" style="70" customWidth="1"/>
    <col min="10" max="10" width="40" style="69" bestFit="1" customWidth="1"/>
    <col min="11" max="11" width="14" style="69" bestFit="1" customWidth="1"/>
    <col min="12" max="12" width="5.7109375" style="69" bestFit="1" customWidth="1"/>
    <col min="13" max="13" width="16.5703125" style="69" bestFit="1" customWidth="1"/>
    <col min="14" max="14" width="9.85546875" style="69" bestFit="1" customWidth="1"/>
    <col min="15" max="15" width="3.5703125" style="69" customWidth="1"/>
    <col min="16" max="16" width="18" style="69" bestFit="1" customWidth="1"/>
    <col min="17" max="17" width="16.5703125" style="69" bestFit="1" customWidth="1"/>
    <col min="18" max="18" width="18.7109375" style="69" bestFit="1" customWidth="1"/>
    <col min="19" max="19" width="9.85546875" style="69" bestFit="1" customWidth="1"/>
    <col min="20" max="20" width="11.42578125" style="69"/>
    <col min="21" max="21" width="25.5703125" style="69" bestFit="1" customWidth="1"/>
    <col min="22" max="22" width="14.7109375" style="69" bestFit="1" customWidth="1"/>
    <col min="23" max="23" width="18.5703125" style="69" bestFit="1" customWidth="1"/>
    <col min="24" max="24" width="8" style="69" bestFit="1" customWidth="1"/>
    <col min="25" max="25" width="19" style="69" bestFit="1" customWidth="1"/>
    <col min="26" max="26" width="9.85546875" style="69" bestFit="1" customWidth="1"/>
    <col min="27" max="257" width="11.42578125" style="69"/>
    <col min="258" max="258" width="46.85546875" style="69" bestFit="1" customWidth="1"/>
    <col min="259" max="261" width="11.7109375" style="69" bestFit="1" customWidth="1"/>
    <col min="262" max="262" width="40.28515625" style="69" bestFit="1" customWidth="1"/>
    <col min="263" max="263" width="39.42578125" style="69" bestFit="1" customWidth="1"/>
    <col min="264" max="264" width="13.7109375" style="69" bestFit="1" customWidth="1"/>
    <col min="265" max="265" width="21.85546875" style="69" bestFit="1" customWidth="1"/>
    <col min="266" max="266" width="33.28515625" style="69" bestFit="1" customWidth="1"/>
    <col min="267" max="513" width="11.42578125" style="69"/>
    <col min="514" max="514" width="46.85546875" style="69" bestFit="1" customWidth="1"/>
    <col min="515" max="517" width="11.7109375" style="69" bestFit="1" customWidth="1"/>
    <col min="518" max="518" width="40.28515625" style="69" bestFit="1" customWidth="1"/>
    <col min="519" max="519" width="39.42578125" style="69" bestFit="1" customWidth="1"/>
    <col min="520" max="520" width="13.7109375" style="69" bestFit="1" customWidth="1"/>
    <col min="521" max="521" width="21.85546875" style="69" bestFit="1" customWidth="1"/>
    <col min="522" max="522" width="33.28515625" style="69" bestFit="1" customWidth="1"/>
    <col min="523" max="769" width="11.42578125" style="69"/>
    <col min="770" max="770" width="46.85546875" style="69" bestFit="1" customWidth="1"/>
    <col min="771" max="773" width="11.7109375" style="69" bestFit="1" customWidth="1"/>
    <col min="774" max="774" width="40.28515625" style="69" bestFit="1" customWidth="1"/>
    <col min="775" max="775" width="39.42578125" style="69" bestFit="1" customWidth="1"/>
    <col min="776" max="776" width="13.7109375" style="69" bestFit="1" customWidth="1"/>
    <col min="777" max="777" width="21.85546875" style="69" bestFit="1" customWidth="1"/>
    <col min="778" max="778" width="33.28515625" style="69" bestFit="1" customWidth="1"/>
    <col min="779" max="1025" width="11.42578125" style="69"/>
    <col min="1026" max="1026" width="46.85546875" style="69" bestFit="1" customWidth="1"/>
    <col min="1027" max="1029" width="11.7109375" style="69" bestFit="1" customWidth="1"/>
    <col min="1030" max="1030" width="40.28515625" style="69" bestFit="1" customWidth="1"/>
    <col min="1031" max="1031" width="39.42578125" style="69" bestFit="1" customWidth="1"/>
    <col min="1032" max="1032" width="13.7109375" style="69" bestFit="1" customWidth="1"/>
    <col min="1033" max="1033" width="21.85546875" style="69" bestFit="1" customWidth="1"/>
    <col min="1034" max="1034" width="33.28515625" style="69" bestFit="1" customWidth="1"/>
    <col min="1035" max="1281" width="11.42578125" style="69"/>
    <col min="1282" max="1282" width="46.85546875" style="69" bestFit="1" customWidth="1"/>
    <col min="1283" max="1285" width="11.7109375" style="69" bestFit="1" customWidth="1"/>
    <col min="1286" max="1286" width="40.28515625" style="69" bestFit="1" customWidth="1"/>
    <col min="1287" max="1287" width="39.42578125" style="69" bestFit="1" customWidth="1"/>
    <col min="1288" max="1288" width="13.7109375" style="69" bestFit="1" customWidth="1"/>
    <col min="1289" max="1289" width="21.85546875" style="69" bestFit="1" customWidth="1"/>
    <col min="1290" max="1290" width="33.28515625" style="69" bestFit="1" customWidth="1"/>
    <col min="1291" max="1537" width="11.42578125" style="69"/>
    <col min="1538" max="1538" width="46.85546875" style="69" bestFit="1" customWidth="1"/>
    <col min="1539" max="1541" width="11.7109375" style="69" bestFit="1" customWidth="1"/>
    <col min="1542" max="1542" width="40.28515625" style="69" bestFit="1" customWidth="1"/>
    <col min="1543" max="1543" width="39.42578125" style="69" bestFit="1" customWidth="1"/>
    <col min="1544" max="1544" width="13.7109375" style="69" bestFit="1" customWidth="1"/>
    <col min="1545" max="1545" width="21.85546875" style="69" bestFit="1" customWidth="1"/>
    <col min="1546" max="1546" width="33.28515625" style="69" bestFit="1" customWidth="1"/>
    <col min="1547" max="1793" width="11.42578125" style="69"/>
    <col min="1794" max="1794" width="46.85546875" style="69" bestFit="1" customWidth="1"/>
    <col min="1795" max="1797" width="11.7109375" style="69" bestFit="1" customWidth="1"/>
    <col min="1798" max="1798" width="40.28515625" style="69" bestFit="1" customWidth="1"/>
    <col min="1799" max="1799" width="39.42578125" style="69" bestFit="1" customWidth="1"/>
    <col min="1800" max="1800" width="13.7109375" style="69" bestFit="1" customWidth="1"/>
    <col min="1801" max="1801" width="21.85546875" style="69" bestFit="1" customWidth="1"/>
    <col min="1802" max="1802" width="33.28515625" style="69" bestFit="1" customWidth="1"/>
    <col min="1803" max="2049" width="11.42578125" style="69"/>
    <col min="2050" max="2050" width="46.85546875" style="69" bestFit="1" customWidth="1"/>
    <col min="2051" max="2053" width="11.7109375" style="69" bestFit="1" customWidth="1"/>
    <col min="2054" max="2054" width="40.28515625" style="69" bestFit="1" customWidth="1"/>
    <col min="2055" max="2055" width="39.42578125" style="69" bestFit="1" customWidth="1"/>
    <col min="2056" max="2056" width="13.7109375" style="69" bestFit="1" customWidth="1"/>
    <col min="2057" max="2057" width="21.85546875" style="69" bestFit="1" customWidth="1"/>
    <col min="2058" max="2058" width="33.28515625" style="69" bestFit="1" customWidth="1"/>
    <col min="2059" max="2305" width="11.42578125" style="69"/>
    <col min="2306" max="2306" width="46.85546875" style="69" bestFit="1" customWidth="1"/>
    <col min="2307" max="2309" width="11.7109375" style="69" bestFit="1" customWidth="1"/>
    <col min="2310" max="2310" width="40.28515625" style="69" bestFit="1" customWidth="1"/>
    <col min="2311" max="2311" width="39.42578125" style="69" bestFit="1" customWidth="1"/>
    <col min="2312" max="2312" width="13.7109375" style="69" bestFit="1" customWidth="1"/>
    <col min="2313" max="2313" width="21.85546875" style="69" bestFit="1" customWidth="1"/>
    <col min="2314" max="2314" width="33.28515625" style="69" bestFit="1" customWidth="1"/>
    <col min="2315" max="2561" width="11.42578125" style="69"/>
    <col min="2562" max="2562" width="46.85546875" style="69" bestFit="1" customWidth="1"/>
    <col min="2563" max="2565" width="11.7109375" style="69" bestFit="1" customWidth="1"/>
    <col min="2566" max="2566" width="40.28515625" style="69" bestFit="1" customWidth="1"/>
    <col min="2567" max="2567" width="39.42578125" style="69" bestFit="1" customWidth="1"/>
    <col min="2568" max="2568" width="13.7109375" style="69" bestFit="1" customWidth="1"/>
    <col min="2569" max="2569" width="21.85546875" style="69" bestFit="1" customWidth="1"/>
    <col min="2570" max="2570" width="33.28515625" style="69" bestFit="1" customWidth="1"/>
    <col min="2571" max="2817" width="11.42578125" style="69"/>
    <col min="2818" max="2818" width="46.85546875" style="69" bestFit="1" customWidth="1"/>
    <col min="2819" max="2821" width="11.7109375" style="69" bestFit="1" customWidth="1"/>
    <col min="2822" max="2822" width="40.28515625" style="69" bestFit="1" customWidth="1"/>
    <col min="2823" max="2823" width="39.42578125" style="69" bestFit="1" customWidth="1"/>
    <col min="2824" max="2824" width="13.7109375" style="69" bestFit="1" customWidth="1"/>
    <col min="2825" max="2825" width="21.85546875" style="69" bestFit="1" customWidth="1"/>
    <col min="2826" max="2826" width="33.28515625" style="69" bestFit="1" customWidth="1"/>
    <col min="2827" max="3073" width="11.42578125" style="69"/>
    <col min="3074" max="3074" width="46.85546875" style="69" bestFit="1" customWidth="1"/>
    <col min="3075" max="3077" width="11.7109375" style="69" bestFit="1" customWidth="1"/>
    <col min="3078" max="3078" width="40.28515625" style="69" bestFit="1" customWidth="1"/>
    <col min="3079" max="3079" width="39.42578125" style="69" bestFit="1" customWidth="1"/>
    <col min="3080" max="3080" width="13.7109375" style="69" bestFit="1" customWidth="1"/>
    <col min="3081" max="3081" width="21.85546875" style="69" bestFit="1" customWidth="1"/>
    <col min="3082" max="3082" width="33.28515625" style="69" bestFit="1" customWidth="1"/>
    <col min="3083" max="3329" width="11.42578125" style="69"/>
    <col min="3330" max="3330" width="46.85546875" style="69" bestFit="1" customWidth="1"/>
    <col min="3331" max="3333" width="11.7109375" style="69" bestFit="1" customWidth="1"/>
    <col min="3334" max="3334" width="40.28515625" style="69" bestFit="1" customWidth="1"/>
    <col min="3335" max="3335" width="39.42578125" style="69" bestFit="1" customWidth="1"/>
    <col min="3336" max="3336" width="13.7109375" style="69" bestFit="1" customWidth="1"/>
    <col min="3337" max="3337" width="21.85546875" style="69" bestFit="1" customWidth="1"/>
    <col min="3338" max="3338" width="33.28515625" style="69" bestFit="1" customWidth="1"/>
    <col min="3339" max="3585" width="11.42578125" style="69"/>
    <col min="3586" max="3586" width="46.85546875" style="69" bestFit="1" customWidth="1"/>
    <col min="3587" max="3589" width="11.7109375" style="69" bestFit="1" customWidth="1"/>
    <col min="3590" max="3590" width="40.28515625" style="69" bestFit="1" customWidth="1"/>
    <col min="3591" max="3591" width="39.42578125" style="69" bestFit="1" customWidth="1"/>
    <col min="3592" max="3592" width="13.7109375" style="69" bestFit="1" customWidth="1"/>
    <col min="3593" max="3593" width="21.85546875" style="69" bestFit="1" customWidth="1"/>
    <col min="3594" max="3594" width="33.28515625" style="69" bestFit="1" customWidth="1"/>
    <col min="3595" max="3841" width="11.42578125" style="69"/>
    <col min="3842" max="3842" width="46.85546875" style="69" bestFit="1" customWidth="1"/>
    <col min="3843" max="3845" width="11.7109375" style="69" bestFit="1" customWidth="1"/>
    <col min="3846" max="3846" width="40.28515625" style="69" bestFit="1" customWidth="1"/>
    <col min="3847" max="3847" width="39.42578125" style="69" bestFit="1" customWidth="1"/>
    <col min="3848" max="3848" width="13.7109375" style="69" bestFit="1" customWidth="1"/>
    <col min="3849" max="3849" width="21.85546875" style="69" bestFit="1" customWidth="1"/>
    <col min="3850" max="3850" width="33.28515625" style="69" bestFit="1" customWidth="1"/>
    <col min="3851" max="4097" width="11.42578125" style="69"/>
    <col min="4098" max="4098" width="46.85546875" style="69" bestFit="1" customWidth="1"/>
    <col min="4099" max="4101" width="11.7109375" style="69" bestFit="1" customWidth="1"/>
    <col min="4102" max="4102" width="40.28515625" style="69" bestFit="1" customWidth="1"/>
    <col min="4103" max="4103" width="39.42578125" style="69" bestFit="1" customWidth="1"/>
    <col min="4104" max="4104" width="13.7109375" style="69" bestFit="1" customWidth="1"/>
    <col min="4105" max="4105" width="21.85546875" style="69" bestFit="1" customWidth="1"/>
    <col min="4106" max="4106" width="33.28515625" style="69" bestFit="1" customWidth="1"/>
    <col min="4107" max="4353" width="11.42578125" style="69"/>
    <col min="4354" max="4354" width="46.85546875" style="69" bestFit="1" customWidth="1"/>
    <col min="4355" max="4357" width="11.7109375" style="69" bestFit="1" customWidth="1"/>
    <col min="4358" max="4358" width="40.28515625" style="69" bestFit="1" customWidth="1"/>
    <col min="4359" max="4359" width="39.42578125" style="69" bestFit="1" customWidth="1"/>
    <col min="4360" max="4360" width="13.7109375" style="69" bestFit="1" customWidth="1"/>
    <col min="4361" max="4361" width="21.85546875" style="69" bestFit="1" customWidth="1"/>
    <col min="4362" max="4362" width="33.28515625" style="69" bestFit="1" customWidth="1"/>
    <col min="4363" max="4609" width="11.42578125" style="69"/>
    <col min="4610" max="4610" width="46.85546875" style="69" bestFit="1" customWidth="1"/>
    <col min="4611" max="4613" width="11.7109375" style="69" bestFit="1" customWidth="1"/>
    <col min="4614" max="4614" width="40.28515625" style="69" bestFit="1" customWidth="1"/>
    <col min="4615" max="4615" width="39.42578125" style="69" bestFit="1" customWidth="1"/>
    <col min="4616" max="4616" width="13.7109375" style="69" bestFit="1" customWidth="1"/>
    <col min="4617" max="4617" width="21.85546875" style="69" bestFit="1" customWidth="1"/>
    <col min="4618" max="4618" width="33.28515625" style="69" bestFit="1" customWidth="1"/>
    <col min="4619" max="4865" width="11.42578125" style="69"/>
    <col min="4866" max="4866" width="46.85546875" style="69" bestFit="1" customWidth="1"/>
    <col min="4867" max="4869" width="11.7109375" style="69" bestFit="1" customWidth="1"/>
    <col min="4870" max="4870" width="40.28515625" style="69" bestFit="1" customWidth="1"/>
    <col min="4871" max="4871" width="39.42578125" style="69" bestFit="1" customWidth="1"/>
    <col min="4872" max="4872" width="13.7109375" style="69" bestFit="1" customWidth="1"/>
    <col min="4873" max="4873" width="21.85546875" style="69" bestFit="1" customWidth="1"/>
    <col min="4874" max="4874" width="33.28515625" style="69" bestFit="1" customWidth="1"/>
    <col min="4875" max="5121" width="11.42578125" style="69"/>
    <col min="5122" max="5122" width="46.85546875" style="69" bestFit="1" customWidth="1"/>
    <col min="5123" max="5125" width="11.7109375" style="69" bestFit="1" customWidth="1"/>
    <col min="5126" max="5126" width="40.28515625" style="69" bestFit="1" customWidth="1"/>
    <col min="5127" max="5127" width="39.42578125" style="69" bestFit="1" customWidth="1"/>
    <col min="5128" max="5128" width="13.7109375" style="69" bestFit="1" customWidth="1"/>
    <col min="5129" max="5129" width="21.85546875" style="69" bestFit="1" customWidth="1"/>
    <col min="5130" max="5130" width="33.28515625" style="69" bestFit="1" customWidth="1"/>
    <col min="5131" max="5377" width="11.42578125" style="69"/>
    <col min="5378" max="5378" width="46.85546875" style="69" bestFit="1" customWidth="1"/>
    <col min="5379" max="5381" width="11.7109375" style="69" bestFit="1" customWidth="1"/>
    <col min="5382" max="5382" width="40.28515625" style="69" bestFit="1" customWidth="1"/>
    <col min="5383" max="5383" width="39.42578125" style="69" bestFit="1" customWidth="1"/>
    <col min="5384" max="5384" width="13.7109375" style="69" bestFit="1" customWidth="1"/>
    <col min="5385" max="5385" width="21.85546875" style="69" bestFit="1" customWidth="1"/>
    <col min="5386" max="5386" width="33.28515625" style="69" bestFit="1" customWidth="1"/>
    <col min="5387" max="5633" width="11.42578125" style="69"/>
    <col min="5634" max="5634" width="46.85546875" style="69" bestFit="1" customWidth="1"/>
    <col min="5635" max="5637" width="11.7109375" style="69" bestFit="1" customWidth="1"/>
    <col min="5638" max="5638" width="40.28515625" style="69" bestFit="1" customWidth="1"/>
    <col min="5639" max="5639" width="39.42578125" style="69" bestFit="1" customWidth="1"/>
    <col min="5640" max="5640" width="13.7109375" style="69" bestFit="1" customWidth="1"/>
    <col min="5641" max="5641" width="21.85546875" style="69" bestFit="1" customWidth="1"/>
    <col min="5642" max="5642" width="33.28515625" style="69" bestFit="1" customWidth="1"/>
    <col min="5643" max="5889" width="11.42578125" style="69"/>
    <col min="5890" max="5890" width="46.85546875" style="69" bestFit="1" customWidth="1"/>
    <col min="5891" max="5893" width="11.7109375" style="69" bestFit="1" customWidth="1"/>
    <col min="5894" max="5894" width="40.28515625" style="69" bestFit="1" customWidth="1"/>
    <col min="5895" max="5895" width="39.42578125" style="69" bestFit="1" customWidth="1"/>
    <col min="5896" max="5896" width="13.7109375" style="69" bestFit="1" customWidth="1"/>
    <col min="5897" max="5897" width="21.85546875" style="69" bestFit="1" customWidth="1"/>
    <col min="5898" max="5898" width="33.28515625" style="69" bestFit="1" customWidth="1"/>
    <col min="5899" max="6145" width="11.42578125" style="69"/>
    <col min="6146" max="6146" width="46.85546875" style="69" bestFit="1" customWidth="1"/>
    <col min="6147" max="6149" width="11.7109375" style="69" bestFit="1" customWidth="1"/>
    <col min="6150" max="6150" width="40.28515625" style="69" bestFit="1" customWidth="1"/>
    <col min="6151" max="6151" width="39.42578125" style="69" bestFit="1" customWidth="1"/>
    <col min="6152" max="6152" width="13.7109375" style="69" bestFit="1" customWidth="1"/>
    <col min="6153" max="6153" width="21.85546875" style="69" bestFit="1" customWidth="1"/>
    <col min="6154" max="6154" width="33.28515625" style="69" bestFit="1" customWidth="1"/>
    <col min="6155" max="6401" width="11.42578125" style="69"/>
    <col min="6402" max="6402" width="46.85546875" style="69" bestFit="1" customWidth="1"/>
    <col min="6403" max="6405" width="11.7109375" style="69" bestFit="1" customWidth="1"/>
    <col min="6406" max="6406" width="40.28515625" style="69" bestFit="1" customWidth="1"/>
    <col min="6407" max="6407" width="39.42578125" style="69" bestFit="1" customWidth="1"/>
    <col min="6408" max="6408" width="13.7109375" style="69" bestFit="1" customWidth="1"/>
    <col min="6409" max="6409" width="21.85546875" style="69" bestFit="1" customWidth="1"/>
    <col min="6410" max="6410" width="33.28515625" style="69" bestFit="1" customWidth="1"/>
    <col min="6411" max="6657" width="11.42578125" style="69"/>
    <col min="6658" max="6658" width="46.85546875" style="69" bestFit="1" customWidth="1"/>
    <col min="6659" max="6661" width="11.7109375" style="69" bestFit="1" customWidth="1"/>
    <col min="6662" max="6662" width="40.28515625" style="69" bestFit="1" customWidth="1"/>
    <col min="6663" max="6663" width="39.42578125" style="69" bestFit="1" customWidth="1"/>
    <col min="6664" max="6664" width="13.7109375" style="69" bestFit="1" customWidth="1"/>
    <col min="6665" max="6665" width="21.85546875" style="69" bestFit="1" customWidth="1"/>
    <col min="6666" max="6666" width="33.28515625" style="69" bestFit="1" customWidth="1"/>
    <col min="6667" max="6913" width="11.42578125" style="69"/>
    <col min="6914" max="6914" width="46.85546875" style="69" bestFit="1" customWidth="1"/>
    <col min="6915" max="6917" width="11.7109375" style="69" bestFit="1" customWidth="1"/>
    <col min="6918" max="6918" width="40.28515625" style="69" bestFit="1" customWidth="1"/>
    <col min="6919" max="6919" width="39.42578125" style="69" bestFit="1" customWidth="1"/>
    <col min="6920" max="6920" width="13.7109375" style="69" bestFit="1" customWidth="1"/>
    <col min="6921" max="6921" width="21.85546875" style="69" bestFit="1" customWidth="1"/>
    <col min="6922" max="6922" width="33.28515625" style="69" bestFit="1" customWidth="1"/>
    <col min="6923" max="7169" width="11.42578125" style="69"/>
    <col min="7170" max="7170" width="46.85546875" style="69" bestFit="1" customWidth="1"/>
    <col min="7171" max="7173" width="11.7109375" style="69" bestFit="1" customWidth="1"/>
    <col min="7174" max="7174" width="40.28515625" style="69" bestFit="1" customWidth="1"/>
    <col min="7175" max="7175" width="39.42578125" style="69" bestFit="1" customWidth="1"/>
    <col min="7176" max="7176" width="13.7109375" style="69" bestFit="1" customWidth="1"/>
    <col min="7177" max="7177" width="21.85546875" style="69" bestFit="1" customWidth="1"/>
    <col min="7178" max="7178" width="33.28515625" style="69" bestFit="1" customWidth="1"/>
    <col min="7179" max="7425" width="11.42578125" style="69"/>
    <col min="7426" max="7426" width="46.85546875" style="69" bestFit="1" customWidth="1"/>
    <col min="7427" max="7429" width="11.7109375" style="69" bestFit="1" customWidth="1"/>
    <col min="7430" max="7430" width="40.28515625" style="69" bestFit="1" customWidth="1"/>
    <col min="7431" max="7431" width="39.42578125" style="69" bestFit="1" customWidth="1"/>
    <col min="7432" max="7432" width="13.7109375" style="69" bestFit="1" customWidth="1"/>
    <col min="7433" max="7433" width="21.85546875" style="69" bestFit="1" customWidth="1"/>
    <col min="7434" max="7434" width="33.28515625" style="69" bestFit="1" customWidth="1"/>
    <col min="7435" max="7681" width="11.42578125" style="69"/>
    <col min="7682" max="7682" width="46.85546875" style="69" bestFit="1" customWidth="1"/>
    <col min="7683" max="7685" width="11.7109375" style="69" bestFit="1" customWidth="1"/>
    <col min="7686" max="7686" width="40.28515625" style="69" bestFit="1" customWidth="1"/>
    <col min="7687" max="7687" width="39.42578125" style="69" bestFit="1" customWidth="1"/>
    <col min="7688" max="7688" width="13.7109375" style="69" bestFit="1" customWidth="1"/>
    <col min="7689" max="7689" width="21.85546875" style="69" bestFit="1" customWidth="1"/>
    <col min="7690" max="7690" width="33.28515625" style="69" bestFit="1" customWidth="1"/>
    <col min="7691" max="7937" width="11.42578125" style="69"/>
    <col min="7938" max="7938" width="46.85546875" style="69" bestFit="1" customWidth="1"/>
    <col min="7939" max="7941" width="11.7109375" style="69" bestFit="1" customWidth="1"/>
    <col min="7942" max="7942" width="40.28515625" style="69" bestFit="1" customWidth="1"/>
    <col min="7943" max="7943" width="39.42578125" style="69" bestFit="1" customWidth="1"/>
    <col min="7944" max="7944" width="13.7109375" style="69" bestFit="1" customWidth="1"/>
    <col min="7945" max="7945" width="21.85546875" style="69" bestFit="1" customWidth="1"/>
    <col min="7946" max="7946" width="33.28515625" style="69" bestFit="1" customWidth="1"/>
    <col min="7947" max="8193" width="11.42578125" style="69"/>
    <col min="8194" max="8194" width="46.85546875" style="69" bestFit="1" customWidth="1"/>
    <col min="8195" max="8197" width="11.7109375" style="69" bestFit="1" customWidth="1"/>
    <col min="8198" max="8198" width="40.28515625" style="69" bestFit="1" customWidth="1"/>
    <col min="8199" max="8199" width="39.42578125" style="69" bestFit="1" customWidth="1"/>
    <col min="8200" max="8200" width="13.7109375" style="69" bestFit="1" customWidth="1"/>
    <col min="8201" max="8201" width="21.85546875" style="69" bestFit="1" customWidth="1"/>
    <col min="8202" max="8202" width="33.28515625" style="69" bestFit="1" customWidth="1"/>
    <col min="8203" max="8449" width="11.42578125" style="69"/>
    <col min="8450" max="8450" width="46.85546875" style="69" bestFit="1" customWidth="1"/>
    <col min="8451" max="8453" width="11.7109375" style="69" bestFit="1" customWidth="1"/>
    <col min="8454" max="8454" width="40.28515625" style="69" bestFit="1" customWidth="1"/>
    <col min="8455" max="8455" width="39.42578125" style="69" bestFit="1" customWidth="1"/>
    <col min="8456" max="8456" width="13.7109375" style="69" bestFit="1" customWidth="1"/>
    <col min="8457" max="8457" width="21.85546875" style="69" bestFit="1" customWidth="1"/>
    <col min="8458" max="8458" width="33.28515625" style="69" bestFit="1" customWidth="1"/>
    <col min="8459" max="8705" width="11.42578125" style="69"/>
    <col min="8706" max="8706" width="46.85546875" style="69" bestFit="1" customWidth="1"/>
    <col min="8707" max="8709" width="11.7109375" style="69" bestFit="1" customWidth="1"/>
    <col min="8710" max="8710" width="40.28515625" style="69" bestFit="1" customWidth="1"/>
    <col min="8711" max="8711" width="39.42578125" style="69" bestFit="1" customWidth="1"/>
    <col min="8712" max="8712" width="13.7109375" style="69" bestFit="1" customWidth="1"/>
    <col min="8713" max="8713" width="21.85546875" style="69" bestFit="1" customWidth="1"/>
    <col min="8714" max="8714" width="33.28515625" style="69" bestFit="1" customWidth="1"/>
    <col min="8715" max="8961" width="11.42578125" style="69"/>
    <col min="8962" max="8962" width="46.85546875" style="69" bestFit="1" customWidth="1"/>
    <col min="8963" max="8965" width="11.7109375" style="69" bestFit="1" customWidth="1"/>
    <col min="8966" max="8966" width="40.28515625" style="69" bestFit="1" customWidth="1"/>
    <col min="8967" max="8967" width="39.42578125" style="69" bestFit="1" customWidth="1"/>
    <col min="8968" max="8968" width="13.7109375" style="69" bestFit="1" customWidth="1"/>
    <col min="8969" max="8969" width="21.85546875" style="69" bestFit="1" customWidth="1"/>
    <col min="8970" max="8970" width="33.28515625" style="69" bestFit="1" customWidth="1"/>
    <col min="8971" max="9217" width="11.42578125" style="69"/>
    <col min="9218" max="9218" width="46.85546875" style="69" bestFit="1" customWidth="1"/>
    <col min="9219" max="9221" width="11.7109375" style="69" bestFit="1" customWidth="1"/>
    <col min="9222" max="9222" width="40.28515625" style="69" bestFit="1" customWidth="1"/>
    <col min="9223" max="9223" width="39.42578125" style="69" bestFit="1" customWidth="1"/>
    <col min="9224" max="9224" width="13.7109375" style="69" bestFit="1" customWidth="1"/>
    <col min="9225" max="9225" width="21.85546875" style="69" bestFit="1" customWidth="1"/>
    <col min="9226" max="9226" width="33.28515625" style="69" bestFit="1" customWidth="1"/>
    <col min="9227" max="9473" width="11.42578125" style="69"/>
    <col min="9474" max="9474" width="46.85546875" style="69" bestFit="1" customWidth="1"/>
    <col min="9475" max="9477" width="11.7109375" style="69" bestFit="1" customWidth="1"/>
    <col min="9478" max="9478" width="40.28515625" style="69" bestFit="1" customWidth="1"/>
    <col min="9479" max="9479" width="39.42578125" style="69" bestFit="1" customWidth="1"/>
    <col min="9480" max="9480" width="13.7109375" style="69" bestFit="1" customWidth="1"/>
    <col min="9481" max="9481" width="21.85546875" style="69" bestFit="1" customWidth="1"/>
    <col min="9482" max="9482" width="33.28515625" style="69" bestFit="1" customWidth="1"/>
    <col min="9483" max="9729" width="11.42578125" style="69"/>
    <col min="9730" max="9730" width="46.85546875" style="69" bestFit="1" customWidth="1"/>
    <col min="9731" max="9733" width="11.7109375" style="69" bestFit="1" customWidth="1"/>
    <col min="9734" max="9734" width="40.28515625" style="69" bestFit="1" customWidth="1"/>
    <col min="9735" max="9735" width="39.42578125" style="69" bestFit="1" customWidth="1"/>
    <col min="9736" max="9736" width="13.7109375" style="69" bestFit="1" customWidth="1"/>
    <col min="9737" max="9737" width="21.85546875" style="69" bestFit="1" customWidth="1"/>
    <col min="9738" max="9738" width="33.28515625" style="69" bestFit="1" customWidth="1"/>
    <col min="9739" max="9985" width="11.42578125" style="69"/>
    <col min="9986" max="9986" width="46.85546875" style="69" bestFit="1" customWidth="1"/>
    <col min="9987" max="9989" width="11.7109375" style="69" bestFit="1" customWidth="1"/>
    <col min="9990" max="9990" width="40.28515625" style="69" bestFit="1" customWidth="1"/>
    <col min="9991" max="9991" width="39.42578125" style="69" bestFit="1" customWidth="1"/>
    <col min="9992" max="9992" width="13.7109375" style="69" bestFit="1" customWidth="1"/>
    <col min="9993" max="9993" width="21.85546875" style="69" bestFit="1" customWidth="1"/>
    <col min="9994" max="9994" width="33.28515625" style="69" bestFit="1" customWidth="1"/>
    <col min="9995" max="10241" width="11.42578125" style="69"/>
    <col min="10242" max="10242" width="46.85546875" style="69" bestFit="1" customWidth="1"/>
    <col min="10243" max="10245" width="11.7109375" style="69" bestFit="1" customWidth="1"/>
    <col min="10246" max="10246" width="40.28515625" style="69" bestFit="1" customWidth="1"/>
    <col min="10247" max="10247" width="39.42578125" style="69" bestFit="1" customWidth="1"/>
    <col min="10248" max="10248" width="13.7109375" style="69" bestFit="1" customWidth="1"/>
    <col min="10249" max="10249" width="21.85546875" style="69" bestFit="1" customWidth="1"/>
    <col min="10250" max="10250" width="33.28515625" style="69" bestFit="1" customWidth="1"/>
    <col min="10251" max="10497" width="11.42578125" style="69"/>
    <col min="10498" max="10498" width="46.85546875" style="69" bestFit="1" customWidth="1"/>
    <col min="10499" max="10501" width="11.7109375" style="69" bestFit="1" customWidth="1"/>
    <col min="10502" max="10502" width="40.28515625" style="69" bestFit="1" customWidth="1"/>
    <col min="10503" max="10503" width="39.42578125" style="69" bestFit="1" customWidth="1"/>
    <col min="10504" max="10504" width="13.7109375" style="69" bestFit="1" customWidth="1"/>
    <col min="10505" max="10505" width="21.85546875" style="69" bestFit="1" customWidth="1"/>
    <col min="10506" max="10506" width="33.28515625" style="69" bestFit="1" customWidth="1"/>
    <col min="10507" max="10753" width="11.42578125" style="69"/>
    <col min="10754" max="10754" width="46.85546875" style="69" bestFit="1" customWidth="1"/>
    <col min="10755" max="10757" width="11.7109375" style="69" bestFit="1" customWidth="1"/>
    <col min="10758" max="10758" width="40.28515625" style="69" bestFit="1" customWidth="1"/>
    <col min="10759" max="10759" width="39.42578125" style="69" bestFit="1" customWidth="1"/>
    <col min="10760" max="10760" width="13.7109375" style="69" bestFit="1" customWidth="1"/>
    <col min="10761" max="10761" width="21.85546875" style="69" bestFit="1" customWidth="1"/>
    <col min="10762" max="10762" width="33.28515625" style="69" bestFit="1" customWidth="1"/>
    <col min="10763" max="11009" width="11.42578125" style="69"/>
    <col min="11010" max="11010" width="46.85546875" style="69" bestFit="1" customWidth="1"/>
    <col min="11011" max="11013" width="11.7109375" style="69" bestFit="1" customWidth="1"/>
    <col min="11014" max="11014" width="40.28515625" style="69" bestFit="1" customWidth="1"/>
    <col min="11015" max="11015" width="39.42578125" style="69" bestFit="1" customWidth="1"/>
    <col min="11016" max="11016" width="13.7109375" style="69" bestFit="1" customWidth="1"/>
    <col min="11017" max="11017" width="21.85546875" style="69" bestFit="1" customWidth="1"/>
    <col min="11018" max="11018" width="33.28515625" style="69" bestFit="1" customWidth="1"/>
    <col min="11019" max="11265" width="11.42578125" style="69"/>
    <col min="11266" max="11266" width="46.85546875" style="69" bestFit="1" customWidth="1"/>
    <col min="11267" max="11269" width="11.7109375" style="69" bestFit="1" customWidth="1"/>
    <col min="11270" max="11270" width="40.28515625" style="69" bestFit="1" customWidth="1"/>
    <col min="11271" max="11271" width="39.42578125" style="69" bestFit="1" customWidth="1"/>
    <col min="11272" max="11272" width="13.7109375" style="69" bestFit="1" customWidth="1"/>
    <col min="11273" max="11273" width="21.85546875" style="69" bestFit="1" customWidth="1"/>
    <col min="11274" max="11274" width="33.28515625" style="69" bestFit="1" customWidth="1"/>
    <col min="11275" max="11521" width="11.42578125" style="69"/>
    <col min="11522" max="11522" width="46.85546875" style="69" bestFit="1" customWidth="1"/>
    <col min="11523" max="11525" width="11.7109375" style="69" bestFit="1" customWidth="1"/>
    <col min="11526" max="11526" width="40.28515625" style="69" bestFit="1" customWidth="1"/>
    <col min="11527" max="11527" width="39.42578125" style="69" bestFit="1" customWidth="1"/>
    <col min="11528" max="11528" width="13.7109375" style="69" bestFit="1" customWidth="1"/>
    <col min="11529" max="11529" width="21.85546875" style="69" bestFit="1" customWidth="1"/>
    <col min="11530" max="11530" width="33.28515625" style="69" bestFit="1" customWidth="1"/>
    <col min="11531" max="11777" width="11.42578125" style="69"/>
    <col min="11778" max="11778" width="46.85546875" style="69" bestFit="1" customWidth="1"/>
    <col min="11779" max="11781" width="11.7109375" style="69" bestFit="1" customWidth="1"/>
    <col min="11782" max="11782" width="40.28515625" style="69" bestFit="1" customWidth="1"/>
    <col min="11783" max="11783" width="39.42578125" style="69" bestFit="1" customWidth="1"/>
    <col min="11784" max="11784" width="13.7109375" style="69" bestFit="1" customWidth="1"/>
    <col min="11785" max="11785" width="21.85546875" style="69" bestFit="1" customWidth="1"/>
    <col min="11786" max="11786" width="33.28515625" style="69" bestFit="1" customWidth="1"/>
    <col min="11787" max="12033" width="11.42578125" style="69"/>
    <col min="12034" max="12034" width="46.85546875" style="69" bestFit="1" customWidth="1"/>
    <col min="12035" max="12037" width="11.7109375" style="69" bestFit="1" customWidth="1"/>
    <col min="12038" max="12038" width="40.28515625" style="69" bestFit="1" customWidth="1"/>
    <col min="12039" max="12039" width="39.42578125" style="69" bestFit="1" customWidth="1"/>
    <col min="12040" max="12040" width="13.7109375" style="69" bestFit="1" customWidth="1"/>
    <col min="12041" max="12041" width="21.85546875" style="69" bestFit="1" customWidth="1"/>
    <col min="12042" max="12042" width="33.28515625" style="69" bestFit="1" customWidth="1"/>
    <col min="12043" max="12289" width="11.42578125" style="69"/>
    <col min="12290" max="12290" width="46.85546875" style="69" bestFit="1" customWidth="1"/>
    <col min="12291" max="12293" width="11.7109375" style="69" bestFit="1" customWidth="1"/>
    <col min="12294" max="12294" width="40.28515625" style="69" bestFit="1" customWidth="1"/>
    <col min="12295" max="12295" width="39.42578125" style="69" bestFit="1" customWidth="1"/>
    <col min="12296" max="12296" width="13.7109375" style="69" bestFit="1" customWidth="1"/>
    <col min="12297" max="12297" width="21.85546875" style="69" bestFit="1" customWidth="1"/>
    <col min="12298" max="12298" width="33.28515625" style="69" bestFit="1" customWidth="1"/>
    <col min="12299" max="12545" width="11.42578125" style="69"/>
    <col min="12546" max="12546" width="46.85546875" style="69" bestFit="1" customWidth="1"/>
    <col min="12547" max="12549" width="11.7109375" style="69" bestFit="1" customWidth="1"/>
    <col min="12550" max="12550" width="40.28515625" style="69" bestFit="1" customWidth="1"/>
    <col min="12551" max="12551" width="39.42578125" style="69" bestFit="1" customWidth="1"/>
    <col min="12552" max="12552" width="13.7109375" style="69" bestFit="1" customWidth="1"/>
    <col min="12553" max="12553" width="21.85546875" style="69" bestFit="1" customWidth="1"/>
    <col min="12554" max="12554" width="33.28515625" style="69" bestFit="1" customWidth="1"/>
    <col min="12555" max="12801" width="11.42578125" style="69"/>
    <col min="12802" max="12802" width="46.85546875" style="69" bestFit="1" customWidth="1"/>
    <col min="12803" max="12805" width="11.7109375" style="69" bestFit="1" customWidth="1"/>
    <col min="12806" max="12806" width="40.28515625" style="69" bestFit="1" customWidth="1"/>
    <col min="12807" max="12807" width="39.42578125" style="69" bestFit="1" customWidth="1"/>
    <col min="12808" max="12808" width="13.7109375" style="69" bestFit="1" customWidth="1"/>
    <col min="12809" max="12809" width="21.85546875" style="69" bestFit="1" customWidth="1"/>
    <col min="12810" max="12810" width="33.28515625" style="69" bestFit="1" customWidth="1"/>
    <col min="12811" max="13057" width="11.42578125" style="69"/>
    <col min="13058" max="13058" width="46.85546875" style="69" bestFit="1" customWidth="1"/>
    <col min="13059" max="13061" width="11.7109375" style="69" bestFit="1" customWidth="1"/>
    <col min="13062" max="13062" width="40.28515625" style="69" bestFit="1" customWidth="1"/>
    <col min="13063" max="13063" width="39.42578125" style="69" bestFit="1" customWidth="1"/>
    <col min="13064" max="13064" width="13.7109375" style="69" bestFit="1" customWidth="1"/>
    <col min="13065" max="13065" width="21.85546875" style="69" bestFit="1" customWidth="1"/>
    <col min="13066" max="13066" width="33.28515625" style="69" bestFit="1" customWidth="1"/>
    <col min="13067" max="13313" width="11.42578125" style="69"/>
    <col min="13314" max="13314" width="46.85546875" style="69" bestFit="1" customWidth="1"/>
    <col min="13315" max="13317" width="11.7109375" style="69" bestFit="1" customWidth="1"/>
    <col min="13318" max="13318" width="40.28515625" style="69" bestFit="1" customWidth="1"/>
    <col min="13319" max="13319" width="39.42578125" style="69" bestFit="1" customWidth="1"/>
    <col min="13320" max="13320" width="13.7109375" style="69" bestFit="1" customWidth="1"/>
    <col min="13321" max="13321" width="21.85546875" style="69" bestFit="1" customWidth="1"/>
    <col min="13322" max="13322" width="33.28515625" style="69" bestFit="1" customWidth="1"/>
    <col min="13323" max="13569" width="11.42578125" style="69"/>
    <col min="13570" max="13570" width="46.85546875" style="69" bestFit="1" customWidth="1"/>
    <col min="13571" max="13573" width="11.7109375" style="69" bestFit="1" customWidth="1"/>
    <col min="13574" max="13574" width="40.28515625" style="69" bestFit="1" customWidth="1"/>
    <col min="13575" max="13575" width="39.42578125" style="69" bestFit="1" customWidth="1"/>
    <col min="13576" max="13576" width="13.7109375" style="69" bestFit="1" customWidth="1"/>
    <col min="13577" max="13577" width="21.85546875" style="69" bestFit="1" customWidth="1"/>
    <col min="13578" max="13578" width="33.28515625" style="69" bestFit="1" customWidth="1"/>
    <col min="13579" max="13825" width="11.42578125" style="69"/>
    <col min="13826" max="13826" width="46.85546875" style="69" bestFit="1" customWidth="1"/>
    <col min="13827" max="13829" width="11.7109375" style="69" bestFit="1" customWidth="1"/>
    <col min="13830" max="13830" width="40.28515625" style="69" bestFit="1" customWidth="1"/>
    <col min="13831" max="13831" width="39.42578125" style="69" bestFit="1" customWidth="1"/>
    <col min="13832" max="13832" width="13.7109375" style="69" bestFit="1" customWidth="1"/>
    <col min="13833" max="13833" width="21.85546875" style="69" bestFit="1" customWidth="1"/>
    <col min="13834" max="13834" width="33.28515625" style="69" bestFit="1" customWidth="1"/>
    <col min="13835" max="14081" width="11.42578125" style="69"/>
    <col min="14082" max="14082" width="46.85546875" style="69" bestFit="1" customWidth="1"/>
    <col min="14083" max="14085" width="11.7109375" style="69" bestFit="1" customWidth="1"/>
    <col min="14086" max="14086" width="40.28515625" style="69" bestFit="1" customWidth="1"/>
    <col min="14087" max="14087" width="39.42578125" style="69" bestFit="1" customWidth="1"/>
    <col min="14088" max="14088" width="13.7109375" style="69" bestFit="1" customWidth="1"/>
    <col min="14089" max="14089" width="21.85546875" style="69" bestFit="1" customWidth="1"/>
    <col min="14090" max="14090" width="33.28515625" style="69" bestFit="1" customWidth="1"/>
    <col min="14091" max="14337" width="11.42578125" style="69"/>
    <col min="14338" max="14338" width="46.85546875" style="69" bestFit="1" customWidth="1"/>
    <col min="14339" max="14341" width="11.7109375" style="69" bestFit="1" customWidth="1"/>
    <col min="14342" max="14342" width="40.28515625" style="69" bestFit="1" customWidth="1"/>
    <col min="14343" max="14343" width="39.42578125" style="69" bestFit="1" customWidth="1"/>
    <col min="14344" max="14344" width="13.7109375" style="69" bestFit="1" customWidth="1"/>
    <col min="14345" max="14345" width="21.85546875" style="69" bestFit="1" customWidth="1"/>
    <col min="14346" max="14346" width="33.28515625" style="69" bestFit="1" customWidth="1"/>
    <col min="14347" max="14593" width="11.42578125" style="69"/>
    <col min="14594" max="14594" width="46.85546875" style="69" bestFit="1" customWidth="1"/>
    <col min="14595" max="14597" width="11.7109375" style="69" bestFit="1" customWidth="1"/>
    <col min="14598" max="14598" width="40.28515625" style="69" bestFit="1" customWidth="1"/>
    <col min="14599" max="14599" width="39.42578125" style="69" bestFit="1" customWidth="1"/>
    <col min="14600" max="14600" width="13.7109375" style="69" bestFit="1" customWidth="1"/>
    <col min="14601" max="14601" width="21.85546875" style="69" bestFit="1" customWidth="1"/>
    <col min="14602" max="14602" width="33.28515625" style="69" bestFit="1" customWidth="1"/>
    <col min="14603" max="14849" width="11.42578125" style="69"/>
    <col min="14850" max="14850" width="46.85546875" style="69" bestFit="1" customWidth="1"/>
    <col min="14851" max="14853" width="11.7109375" style="69" bestFit="1" customWidth="1"/>
    <col min="14854" max="14854" width="40.28515625" style="69" bestFit="1" customWidth="1"/>
    <col min="14855" max="14855" width="39.42578125" style="69" bestFit="1" customWidth="1"/>
    <col min="14856" max="14856" width="13.7109375" style="69" bestFit="1" customWidth="1"/>
    <col min="14857" max="14857" width="21.85546875" style="69" bestFit="1" customWidth="1"/>
    <col min="14858" max="14858" width="33.28515625" style="69" bestFit="1" customWidth="1"/>
    <col min="14859" max="15105" width="11.42578125" style="69"/>
    <col min="15106" max="15106" width="46.85546875" style="69" bestFit="1" customWidth="1"/>
    <col min="15107" max="15109" width="11.7109375" style="69" bestFit="1" customWidth="1"/>
    <col min="15110" max="15110" width="40.28515625" style="69" bestFit="1" customWidth="1"/>
    <col min="15111" max="15111" width="39.42578125" style="69" bestFit="1" customWidth="1"/>
    <col min="15112" max="15112" width="13.7109375" style="69" bestFit="1" customWidth="1"/>
    <col min="15113" max="15113" width="21.85546875" style="69" bestFit="1" customWidth="1"/>
    <col min="15114" max="15114" width="33.28515625" style="69" bestFit="1" customWidth="1"/>
    <col min="15115" max="15361" width="11.42578125" style="69"/>
    <col min="15362" max="15362" width="46.85546875" style="69" bestFit="1" customWidth="1"/>
    <col min="15363" max="15365" width="11.7109375" style="69" bestFit="1" customWidth="1"/>
    <col min="15366" max="15366" width="40.28515625" style="69" bestFit="1" customWidth="1"/>
    <col min="15367" max="15367" width="39.42578125" style="69" bestFit="1" customWidth="1"/>
    <col min="15368" max="15368" width="13.7109375" style="69" bestFit="1" customWidth="1"/>
    <col min="15369" max="15369" width="21.85546875" style="69" bestFit="1" customWidth="1"/>
    <col min="15370" max="15370" width="33.28515625" style="69" bestFit="1" customWidth="1"/>
    <col min="15371" max="15617" width="11.42578125" style="69"/>
    <col min="15618" max="15618" width="46.85546875" style="69" bestFit="1" customWidth="1"/>
    <col min="15619" max="15621" width="11.7109375" style="69" bestFit="1" customWidth="1"/>
    <col min="15622" max="15622" width="40.28515625" style="69" bestFit="1" customWidth="1"/>
    <col min="15623" max="15623" width="39.42578125" style="69" bestFit="1" customWidth="1"/>
    <col min="15624" max="15624" width="13.7109375" style="69" bestFit="1" customWidth="1"/>
    <col min="15625" max="15625" width="21.85546875" style="69" bestFit="1" customWidth="1"/>
    <col min="15626" max="15626" width="33.28515625" style="69" bestFit="1" customWidth="1"/>
    <col min="15627" max="15873" width="11.42578125" style="69"/>
    <col min="15874" max="15874" width="46.85546875" style="69" bestFit="1" customWidth="1"/>
    <col min="15875" max="15877" width="11.7109375" style="69" bestFit="1" customWidth="1"/>
    <col min="15878" max="15878" width="40.28515625" style="69" bestFit="1" customWidth="1"/>
    <col min="15879" max="15879" width="39.42578125" style="69" bestFit="1" customWidth="1"/>
    <col min="15880" max="15880" width="13.7109375" style="69" bestFit="1" customWidth="1"/>
    <col min="15881" max="15881" width="21.85546875" style="69" bestFit="1" customWidth="1"/>
    <col min="15882" max="15882" width="33.28515625" style="69" bestFit="1" customWidth="1"/>
    <col min="15883" max="16129" width="11.42578125" style="69"/>
    <col min="16130" max="16130" width="46.85546875" style="69" bestFit="1" customWidth="1"/>
    <col min="16131" max="16133" width="11.7109375" style="69" bestFit="1" customWidth="1"/>
    <col min="16134" max="16134" width="40.28515625" style="69" bestFit="1" customWidth="1"/>
    <col min="16135" max="16135" width="39.42578125" style="69" bestFit="1" customWidth="1"/>
    <col min="16136" max="16136" width="13.7109375" style="69" bestFit="1" customWidth="1"/>
    <col min="16137" max="16137" width="21.85546875" style="69" bestFit="1" customWidth="1"/>
    <col min="16138" max="16138" width="33.28515625" style="69" bestFit="1" customWidth="1"/>
    <col min="16139" max="16384" width="11.42578125" style="69"/>
  </cols>
  <sheetData>
    <row r="1" spans="1:9" ht="15">
      <c r="A1" s="14" t="s">
        <v>190</v>
      </c>
    </row>
    <row r="2" spans="1:9">
      <c r="A2" s="71" t="str">
        <f>+'2.Estado Resultados'!A3</f>
        <v>La Distribuidora, S.A.</v>
      </c>
      <c r="B2" s="71"/>
      <c r="C2" s="71"/>
      <c r="D2" s="71"/>
      <c r="E2" s="71"/>
      <c r="F2" s="71"/>
      <c r="G2" s="71"/>
      <c r="H2" s="72"/>
      <c r="I2" s="72"/>
    </row>
    <row r="3" spans="1:9">
      <c r="A3" s="71" t="s">
        <v>124</v>
      </c>
      <c r="B3" s="71"/>
      <c r="C3" s="71"/>
      <c r="D3" s="71"/>
      <c r="E3" s="71"/>
      <c r="F3" s="71"/>
      <c r="G3" s="71"/>
      <c r="H3" s="72"/>
      <c r="I3" s="72"/>
    </row>
    <row r="4" spans="1:9">
      <c r="A4" s="73"/>
      <c r="B4" s="73"/>
      <c r="C4" s="73"/>
      <c r="D4" s="73"/>
      <c r="E4" s="73"/>
      <c r="F4" s="73"/>
      <c r="G4" s="73"/>
      <c r="H4" s="73"/>
      <c r="I4" s="73"/>
    </row>
    <row r="5" spans="1:9">
      <c r="A5" s="161"/>
      <c r="B5" s="152">
        <f>+'1.Estado Situación'!B7</f>
        <v>39721</v>
      </c>
      <c r="C5" s="152">
        <f>+'1.Estado Situación'!C7</f>
        <v>40086</v>
      </c>
      <c r="D5" s="152" t="s">
        <v>116</v>
      </c>
      <c r="E5" s="152">
        <f>+'1.Estado Situación'!D7</f>
        <v>40451</v>
      </c>
      <c r="F5" s="152" t="s">
        <v>116</v>
      </c>
      <c r="G5" s="152">
        <f>+'1.Estado Situación'!E7</f>
        <v>40816</v>
      </c>
      <c r="H5" s="162" t="s">
        <v>116</v>
      </c>
      <c r="I5" s="74"/>
    </row>
    <row r="6" spans="1:9" ht="13.5" thickBot="1">
      <c r="A6" s="94" t="s">
        <v>123</v>
      </c>
      <c r="B6" s="85"/>
      <c r="C6" s="184"/>
      <c r="D6" s="185"/>
      <c r="E6" s="184"/>
      <c r="F6" s="185"/>
      <c r="G6" s="85"/>
      <c r="H6" s="185"/>
      <c r="I6" s="74"/>
    </row>
    <row r="7" spans="1:9" ht="13.5" thickTop="1">
      <c r="A7" s="186" t="s">
        <v>47</v>
      </c>
      <c r="B7" s="187">
        <f>+'1.Estado Situación'!B13</f>
        <v>1793636044.9399998</v>
      </c>
      <c r="C7" s="187">
        <f>+'1.Estado Situación'!C13</f>
        <v>1223375514.4333334</v>
      </c>
      <c r="D7" s="188">
        <f>+C7/B7-1</f>
        <v>-0.317935476439281</v>
      </c>
      <c r="E7" s="187">
        <f>+'1.Estado Situación'!D13</f>
        <v>1022353000.34</v>
      </c>
      <c r="F7" s="188">
        <f>+E7/C7-1</f>
        <v>-0.16431791524489259</v>
      </c>
      <c r="G7" s="187">
        <f>+'1.Estado Situación'!E13</f>
        <v>1103694669.8199999</v>
      </c>
      <c r="H7" s="188">
        <f>+G7/E7-1</f>
        <v>7.9563193391077647E-2</v>
      </c>
    </row>
    <row r="8" spans="1:9">
      <c r="A8" s="69" t="s">
        <v>62</v>
      </c>
      <c r="B8" s="75">
        <f>+'1.Estado Situación'!B11</f>
        <v>1252786094.5933335</v>
      </c>
      <c r="C8" s="75">
        <f>+'1.Estado Situación'!C11</f>
        <v>1531339660.2266667</v>
      </c>
      <c r="D8" s="70">
        <f>+C8/B8-1</f>
        <v>0.22234726808949334</v>
      </c>
      <c r="E8" s="75">
        <f>+'1.Estado Situación'!D11</f>
        <v>1618872422.8933334</v>
      </c>
      <c r="F8" s="70">
        <f>+E8/C8-1</f>
        <v>5.7160906192235794E-2</v>
      </c>
      <c r="G8" s="75">
        <f>+'1.Estado Situación'!E11</f>
        <v>747456943.57999992</v>
      </c>
      <c r="H8" s="70">
        <f>+G8/E8-1</f>
        <v>-0.53828545535162942</v>
      </c>
    </row>
    <row r="9" spans="1:9">
      <c r="A9" s="69" t="s">
        <v>4</v>
      </c>
      <c r="B9" s="75">
        <f>+'2.Estado Resultados'!B9</f>
        <v>14149080687.706667</v>
      </c>
      <c r="C9" s="75">
        <f>+'2.Estado Resultados'!C9</f>
        <v>11894928376.573334</v>
      </c>
      <c r="D9" s="70">
        <f>+C9/B9-1</f>
        <v>-0.15931440076469694</v>
      </c>
      <c r="E9" s="75">
        <f>+'2.Estado Resultados'!D9</f>
        <v>9340656308.7800007</v>
      </c>
      <c r="F9" s="70">
        <f>+E9/C9-1</f>
        <v>-0.21473622933483882</v>
      </c>
      <c r="G9" s="75">
        <f>+'2.Estado Resultados'!E9</f>
        <v>8273794479.1866674</v>
      </c>
      <c r="H9" s="70">
        <f>+G9/E9-1</f>
        <v>-0.11421700941833257</v>
      </c>
    </row>
    <row r="10" spans="1:9">
      <c r="A10" s="69" t="s">
        <v>53</v>
      </c>
      <c r="B10" s="75">
        <f>+'2.Estado Resultados'!B8</f>
        <v>16522423948.166666</v>
      </c>
      <c r="C10" s="75">
        <f>+'2.Estado Resultados'!C8</f>
        <v>14253728943.553335</v>
      </c>
      <c r="D10" s="70">
        <f>+C10/B10-1</f>
        <v>-0.13731005884672665</v>
      </c>
      <c r="E10" s="75">
        <f>+'2.Estado Resultados'!D8</f>
        <v>11175220610.993334</v>
      </c>
      <c r="F10" s="70">
        <f>+E10/C10-1</f>
        <v>-0.21597915498121956</v>
      </c>
      <c r="G10" s="75">
        <f>+'2.Estado Resultados'!E8</f>
        <v>9952376060.7333336</v>
      </c>
      <c r="H10" s="70">
        <f>+G10/E10-1</f>
        <v>-0.10942464518839645</v>
      </c>
    </row>
    <row r="11" spans="1:9" ht="13.5" thickBot="1">
      <c r="A11" s="170" t="s">
        <v>122</v>
      </c>
      <c r="B11" s="189"/>
      <c r="C11" s="190"/>
      <c r="D11" s="169"/>
      <c r="E11" s="190"/>
      <c r="F11" s="169"/>
      <c r="G11" s="189"/>
      <c r="H11" s="169"/>
      <c r="I11" s="76"/>
    </row>
    <row r="12" spans="1:9" ht="13.5" thickTop="1">
      <c r="A12" s="69" t="s">
        <v>91</v>
      </c>
      <c r="B12" s="77">
        <f>+B9/B7</f>
        <v>7.8884903811018017</v>
      </c>
      <c r="C12" s="77">
        <f>+C9/C7</f>
        <v>9.7230394398428484</v>
      </c>
      <c r="D12" s="70">
        <f t="shared" ref="D12:D17" si="0">+C12/B12-1</f>
        <v>0.23256022003094734</v>
      </c>
      <c r="E12" s="77">
        <f>+E9/E7</f>
        <v>9.1364296927515394</v>
      </c>
      <c r="F12" s="70">
        <f t="shared" ref="F12:F17" si="1">+E12/C12-1</f>
        <v>-6.033193125675429E-2</v>
      </c>
      <c r="G12" s="77">
        <f>+G9/G7</f>
        <v>7.4964523300053898</v>
      </c>
      <c r="H12" s="70">
        <f t="shared" ref="H12:H17" si="2">+G12/E12-1</f>
        <v>-0.17949871206771706</v>
      </c>
    </row>
    <row r="13" spans="1:9">
      <c r="A13" s="69" t="s">
        <v>92</v>
      </c>
      <c r="B13" s="77">
        <f>+B10/B8</f>
        <v>13.188543534664635</v>
      </c>
      <c r="C13" s="77">
        <f>+C10/C8</f>
        <v>9.3080126596104211</v>
      </c>
      <c r="D13" s="70">
        <f t="shared" si="0"/>
        <v>-0.29423498241899615</v>
      </c>
      <c r="E13" s="77">
        <f>+E10/E8</f>
        <v>6.9030891211429717</v>
      </c>
      <c r="F13" s="70">
        <f>+E13/C13-1</f>
        <v>-0.25837132225904225</v>
      </c>
      <c r="G13" s="77">
        <f>+G10/G8</f>
        <v>13.314982416332501</v>
      </c>
      <c r="H13" s="70">
        <f>+G13/E13-1</f>
        <v>0.92884405556216953</v>
      </c>
    </row>
    <row r="14" spans="1:9" ht="13.5" thickBot="1">
      <c r="A14" s="69" t="s">
        <v>93</v>
      </c>
      <c r="B14" s="176">
        <f>360/B12</f>
        <v>45.636108128171166</v>
      </c>
      <c r="C14" s="77">
        <f>360/C12</f>
        <v>37.025459191783206</v>
      </c>
      <c r="D14" s="70">
        <f t="shared" si="0"/>
        <v>-0.18868061474928022</v>
      </c>
      <c r="E14" s="77">
        <f>360/E12</f>
        <v>39.402700191039493</v>
      </c>
      <c r="F14" s="70">
        <f t="shared" si="1"/>
        <v>6.4205577760500843E-2</v>
      </c>
      <c r="G14" s="176">
        <f>360/G12</f>
        <v>48.022715833069419</v>
      </c>
      <c r="H14" s="70">
        <f t="shared" si="2"/>
        <v>0.21876713017729155</v>
      </c>
    </row>
    <row r="15" spans="1:9" ht="13.5" thickTop="1">
      <c r="A15" s="177" t="s">
        <v>94</v>
      </c>
      <c r="B15" s="178">
        <f>SUM(B14:B14)</f>
        <v>45.636108128171166</v>
      </c>
      <c r="C15" s="179">
        <f>SUM(C14:C14)</f>
        <v>37.025459191783206</v>
      </c>
      <c r="D15" s="180">
        <f t="shared" si="0"/>
        <v>-0.18868061474928022</v>
      </c>
      <c r="E15" s="179">
        <f>SUM(E14:E14)</f>
        <v>39.402700191039493</v>
      </c>
      <c r="F15" s="180">
        <f t="shared" si="1"/>
        <v>6.4205577760500843E-2</v>
      </c>
      <c r="G15" s="178">
        <f>SUM(G14:G14)</f>
        <v>48.022715833069419</v>
      </c>
      <c r="H15" s="181">
        <f t="shared" si="2"/>
        <v>0.21876713017729155</v>
      </c>
      <c r="I15" s="80"/>
    </row>
    <row r="16" spans="1:9" ht="13.5" thickBot="1">
      <c r="A16" s="170" t="s">
        <v>95</v>
      </c>
      <c r="B16" s="182">
        <f>360/B13</f>
        <v>27.296418217355058</v>
      </c>
      <c r="C16" s="183">
        <f>360/C13</f>
        <v>38.676354788613651</v>
      </c>
      <c r="D16" s="171">
        <f t="shared" si="0"/>
        <v>0.41690219136601714</v>
      </c>
      <c r="E16" s="183">
        <f>360/E13</f>
        <v>52.150565302334293</v>
      </c>
      <c r="F16" s="171">
        <f t="shared" si="1"/>
        <v>0.34838367233324319</v>
      </c>
      <c r="G16" s="182">
        <f>360/G13</f>
        <v>27.03721182225631</v>
      </c>
      <c r="H16" s="171">
        <f t="shared" si="2"/>
        <v>-0.48155477001040092</v>
      </c>
      <c r="I16" s="80"/>
    </row>
    <row r="17" spans="1:26" ht="13.5" thickTop="1">
      <c r="A17" s="83" t="s">
        <v>96</v>
      </c>
      <c r="B17" s="78">
        <f>+B16+B15</f>
        <v>72.932526345526227</v>
      </c>
      <c r="C17" s="79">
        <f>+C16+C15</f>
        <v>75.70181398039685</v>
      </c>
      <c r="D17" s="80">
        <f t="shared" si="0"/>
        <v>3.7970543098298837E-2</v>
      </c>
      <c r="E17" s="79">
        <f>+E16+E15</f>
        <v>91.553265493373786</v>
      </c>
      <c r="F17" s="80">
        <f t="shared" si="1"/>
        <v>0.20939328504177857</v>
      </c>
      <c r="G17" s="78">
        <f>+G16+G15</f>
        <v>75.059927655325737</v>
      </c>
      <c r="H17" s="80">
        <f t="shared" si="2"/>
        <v>-0.18015018633324187</v>
      </c>
    </row>
    <row r="18" spans="1:26">
      <c r="A18" s="102"/>
      <c r="B18" s="102"/>
      <c r="C18" s="102"/>
      <c r="D18" s="102"/>
      <c r="E18" s="102"/>
      <c r="F18" s="75"/>
      <c r="G18" s="75"/>
    </row>
    <row r="19" spans="1:26">
      <c r="A19" s="173" t="s">
        <v>97</v>
      </c>
      <c r="B19" s="174"/>
      <c r="C19" s="173"/>
      <c r="D19" s="173"/>
      <c r="E19" s="175"/>
      <c r="F19" s="81"/>
      <c r="G19" s="81"/>
      <c r="H19" s="81"/>
      <c r="I19" s="81"/>
    </row>
    <row r="20" spans="1:26" ht="15">
      <c r="A20" s="173" t="s">
        <v>98</v>
      </c>
      <c r="B20" s="174"/>
      <c r="C20" s="173"/>
      <c r="D20" s="173"/>
      <c r="E20" s="175"/>
      <c r="F20" s="82"/>
      <c r="G20" s="82"/>
      <c r="H20" s="82"/>
      <c r="I20" s="82"/>
      <c r="J20" s="83" t="s">
        <v>127</v>
      </c>
      <c r="P20" s="83" t="s">
        <v>25</v>
      </c>
      <c r="U20" t="s">
        <v>196</v>
      </c>
      <c r="V20" s="200"/>
      <c r="W20" s="200"/>
      <c r="X20" s="200"/>
      <c r="Y20" s="200"/>
      <c r="Z20"/>
    </row>
    <row r="21" spans="1:26" ht="15">
      <c r="A21" s="84">
        <f>+B5</f>
        <v>39721</v>
      </c>
      <c r="B21" s="54"/>
      <c r="C21" s="85" t="s">
        <v>99</v>
      </c>
      <c r="D21" s="85"/>
      <c r="E21" s="74" t="s">
        <v>100</v>
      </c>
      <c r="F21" s="85"/>
      <c r="G21" s="85"/>
      <c r="H21" s="69"/>
      <c r="I21" s="69"/>
      <c r="J21" s="15"/>
      <c r="K21" s="15"/>
      <c r="L21" s="15"/>
      <c r="M21" s="15"/>
      <c r="N21" s="15"/>
      <c r="U21" s="212">
        <f>+J22</f>
        <v>39721</v>
      </c>
      <c r="V21" s="200"/>
      <c r="W21" s="200"/>
      <c r="X21" s="200"/>
      <c r="Y21" s="200"/>
      <c r="Z21"/>
    </row>
    <row r="22" spans="1:26">
      <c r="A22" s="86" t="s">
        <v>25</v>
      </c>
      <c r="B22" s="44">
        <f>+'1.Estado Situación'!B23</f>
        <v>2102845788.54</v>
      </c>
      <c r="C22" s="87">
        <f>+S29</f>
        <v>40.433999999830327</v>
      </c>
      <c r="D22" s="87"/>
      <c r="E22" s="44">
        <f>+B22*C22</f>
        <v>85026466613.469559</v>
      </c>
      <c r="F22" s="75"/>
      <c r="G22" s="75"/>
      <c r="H22" s="69"/>
      <c r="I22" s="69"/>
      <c r="J22" s="163">
        <f>+A21</f>
        <v>39721</v>
      </c>
      <c r="K22" s="88" t="s">
        <v>130</v>
      </c>
      <c r="L22" s="88" t="s">
        <v>129</v>
      </c>
      <c r="M22" s="88" t="s">
        <v>128</v>
      </c>
      <c r="N22" s="83" t="s">
        <v>131</v>
      </c>
      <c r="P22" s="212">
        <f>+Table44[[#This Row],[Column1]]</f>
        <v>39721</v>
      </c>
      <c r="U22" s="210" t="s">
        <v>130</v>
      </c>
      <c r="V22" s="210" t="s">
        <v>198</v>
      </c>
      <c r="W22" s="210" t="s">
        <v>197</v>
      </c>
      <c r="X22" s="210" t="s">
        <v>129</v>
      </c>
      <c r="Y22" s="210" t="s">
        <v>128</v>
      </c>
      <c r="Z22" s="211" t="s">
        <v>131</v>
      </c>
    </row>
    <row r="23" spans="1:26" ht="15">
      <c r="A23" s="86" t="s">
        <v>26</v>
      </c>
      <c r="B23" s="44">
        <f>+'1.Estado Situación'!B24</f>
        <v>58834409.82</v>
      </c>
      <c r="C23" s="87">
        <f>+N27</f>
        <v>180</v>
      </c>
      <c r="D23" s="87"/>
      <c r="E23" s="44">
        <f t="shared" ref="E23:E28" si="3">+B23*C23</f>
        <v>10590193767.6</v>
      </c>
      <c r="F23" s="75"/>
      <c r="J23" s="89" t="s">
        <v>118</v>
      </c>
      <c r="K23" s="90">
        <f>+B27*0.65</f>
        <v>44857221.005999997</v>
      </c>
      <c r="L23" s="69">
        <v>65</v>
      </c>
      <c r="M23" s="91">
        <f>+L23*K23</f>
        <v>2915719365.3899999</v>
      </c>
      <c r="P23" s="165" t="s">
        <v>129</v>
      </c>
      <c r="Q23" s="165" t="s">
        <v>130</v>
      </c>
      <c r="R23" s="165" t="s">
        <v>128</v>
      </c>
      <c r="S23" s="166" t="s">
        <v>131</v>
      </c>
      <c r="U23" s="200">
        <v>34019092.32</v>
      </c>
      <c r="V23" s="202">
        <v>39721</v>
      </c>
      <c r="W23" s="202">
        <v>39844</v>
      </c>
      <c r="X23" s="200">
        <f t="shared" ref="X23:X43" si="4">+W23-V23</f>
        <v>123</v>
      </c>
      <c r="Y23" s="200">
        <f>+Table18[[#This Row],[Column1]]*Table18[[#This Row],[Column4]]</f>
        <v>4184348355.3600001</v>
      </c>
      <c r="Z23"/>
    </row>
    <row r="24" spans="1:26" ht="15">
      <c r="A24" s="86" t="s">
        <v>28</v>
      </c>
      <c r="B24" s="44">
        <f>+'1.Estado Situación'!B25</f>
        <v>12411795.159999998</v>
      </c>
      <c r="C24" s="87">
        <f>+N28</f>
        <v>30</v>
      </c>
      <c r="D24" s="87"/>
      <c r="E24" s="44">
        <f t="shared" si="3"/>
        <v>372353854.79999995</v>
      </c>
      <c r="F24" s="75"/>
      <c r="J24" s="92" t="s">
        <v>119</v>
      </c>
      <c r="K24" s="90">
        <f>0.35*B27</f>
        <v>24153888.233999997</v>
      </c>
      <c r="L24" s="69">
        <v>90</v>
      </c>
      <c r="M24" s="91">
        <f>+L24*K24</f>
        <v>2173849941.0599999</v>
      </c>
      <c r="P24" s="75">
        <v>30</v>
      </c>
      <c r="Q24" s="90">
        <v>2161304901.46</v>
      </c>
      <c r="R24" s="91">
        <f>+P24*Q24</f>
        <v>64839147043.800003</v>
      </c>
      <c r="U24" s="200">
        <v>520000000</v>
      </c>
      <c r="V24" s="202">
        <v>39721</v>
      </c>
      <c r="W24" s="202">
        <v>39844</v>
      </c>
      <c r="X24" s="200">
        <f t="shared" si="4"/>
        <v>123</v>
      </c>
      <c r="Y24" s="200">
        <f>+Table18[[#This Row],[Column1]]*Table18[[#This Row],[Column4]]</f>
        <v>63960000000</v>
      </c>
      <c r="Z24"/>
    </row>
    <row r="25" spans="1:26" ht="15">
      <c r="A25" s="86" t="s">
        <v>29</v>
      </c>
      <c r="B25" s="44">
        <f>+'1.Estado Situación'!B26</f>
        <v>22519200.986666664</v>
      </c>
      <c r="C25" s="87">
        <f>+N29</f>
        <v>30</v>
      </c>
      <c r="D25" s="87"/>
      <c r="E25" s="44">
        <f t="shared" si="3"/>
        <v>675576029.5999999</v>
      </c>
      <c r="F25" s="75"/>
      <c r="J25" s="93"/>
      <c r="M25" s="91">
        <f>SUM(M23:M24)</f>
        <v>5089569306.4499998</v>
      </c>
      <c r="N25" s="164">
        <f>+M25/B27</f>
        <v>73.75</v>
      </c>
      <c r="P25" s="75">
        <v>60</v>
      </c>
      <c r="Q25" s="90">
        <v>919153894.16999996</v>
      </c>
      <c r="R25" s="91">
        <f>+P25*Q25</f>
        <v>55149233650.199997</v>
      </c>
      <c r="U25" s="200">
        <v>13981499.99</v>
      </c>
      <c r="V25" s="202">
        <v>39721</v>
      </c>
      <c r="W25" s="202">
        <v>39782</v>
      </c>
      <c r="X25" s="200">
        <f t="shared" si="4"/>
        <v>61</v>
      </c>
      <c r="Y25" s="200">
        <f>+Table18[[#This Row],[Column1]]*Table18[[#This Row],[Column4]]</f>
        <v>852871499.38999999</v>
      </c>
      <c r="Z25"/>
    </row>
    <row r="26" spans="1:26" ht="15">
      <c r="A26" s="17" t="s">
        <v>238</v>
      </c>
      <c r="B26" s="44">
        <f>+'1.Estado Situación'!B27</f>
        <v>70055319.700000003</v>
      </c>
      <c r="C26" s="87">
        <v>0</v>
      </c>
      <c r="D26" s="87"/>
      <c r="E26" s="44">
        <f t="shared" si="3"/>
        <v>0</v>
      </c>
      <c r="F26" s="75"/>
      <c r="J26" s="15"/>
      <c r="K26" s="15"/>
      <c r="L26" s="15"/>
      <c r="M26" s="15"/>
      <c r="N26" s="15"/>
      <c r="P26" s="75">
        <v>90</v>
      </c>
      <c r="Q26" s="90">
        <v>43528907.82</v>
      </c>
      <c r="R26" s="91">
        <f>+P26*Q26</f>
        <v>3917601703.8000002</v>
      </c>
      <c r="U26" s="200">
        <v>7456792.54</v>
      </c>
      <c r="V26" s="202">
        <v>39721</v>
      </c>
      <c r="W26" s="202">
        <v>39782</v>
      </c>
      <c r="X26" s="200">
        <f t="shared" si="4"/>
        <v>61</v>
      </c>
      <c r="Y26" s="200">
        <f>+Table18[[#This Row],[Column1]]*Table18[[#This Row],[Column4]]</f>
        <v>454864344.94</v>
      </c>
      <c r="Z26"/>
    </row>
    <row r="27" spans="1:26" ht="13.5" customHeight="1">
      <c r="A27" s="86" t="s">
        <v>32</v>
      </c>
      <c r="B27" s="44">
        <f>+'1.Estado Situación'!B28</f>
        <v>69011109.239999995</v>
      </c>
      <c r="C27" s="87">
        <f>+N25</f>
        <v>73.75</v>
      </c>
      <c r="D27" s="87"/>
      <c r="E27" s="44">
        <f t="shared" si="3"/>
        <v>5089569306.4499998</v>
      </c>
      <c r="F27" s="75"/>
      <c r="J27" s="69" t="s">
        <v>26</v>
      </c>
      <c r="N27" s="69">
        <v>180</v>
      </c>
      <c r="P27" s="75">
        <v>120</v>
      </c>
      <c r="Q27" s="90">
        <v>30280979.350000001</v>
      </c>
      <c r="R27" s="91">
        <f>+P27*Q27</f>
        <v>3633717522</v>
      </c>
      <c r="U27" s="200">
        <v>8388900</v>
      </c>
      <c r="V27" s="202">
        <v>39721</v>
      </c>
      <c r="W27" s="202">
        <v>39782</v>
      </c>
      <c r="X27" s="200">
        <f t="shared" si="4"/>
        <v>61</v>
      </c>
      <c r="Y27" s="200">
        <f>+Table18[[#This Row],[Column1]]*Table18[[#This Row],[Column4]]</f>
        <v>511722900</v>
      </c>
      <c r="Z27"/>
    </row>
    <row r="28" spans="1:26" ht="13.5" customHeight="1" thickBot="1">
      <c r="A28" s="159" t="s">
        <v>27</v>
      </c>
      <c r="B28" s="155">
        <f>+'1.Estado Situación'!B33</f>
        <v>1171019031</v>
      </c>
      <c r="C28" s="172">
        <f>+'10.Puntualidad'!Z44</f>
        <v>121.2511482921972</v>
      </c>
      <c r="D28" s="172"/>
      <c r="E28" s="155">
        <f t="shared" si="3"/>
        <v>141987402180.76608</v>
      </c>
      <c r="F28" s="75"/>
      <c r="J28" s="69" t="s">
        <v>28</v>
      </c>
      <c r="N28" s="69">
        <v>30</v>
      </c>
      <c r="P28" s="75">
        <v>360</v>
      </c>
      <c r="Q28" s="90">
        <v>0</v>
      </c>
      <c r="R28" s="91">
        <f>+P28*Q28</f>
        <v>0</v>
      </c>
      <c r="U28" s="200">
        <v>13981505.59</v>
      </c>
      <c r="V28" s="202">
        <v>39721</v>
      </c>
      <c r="W28" s="202">
        <v>39813</v>
      </c>
      <c r="X28" s="200">
        <f t="shared" si="4"/>
        <v>92</v>
      </c>
      <c r="Y28" s="200">
        <f>+Table18[[#This Row],[Column1]]*Table18[[#This Row],[Column4]]</f>
        <v>1286298514.28</v>
      </c>
      <c r="Z28"/>
    </row>
    <row r="29" spans="1:26" ht="15.75" thickTop="1">
      <c r="A29" s="94" t="s">
        <v>89</v>
      </c>
      <c r="B29" s="95">
        <f>SUM(B22:B28)</f>
        <v>3506696654.4466662</v>
      </c>
      <c r="C29" s="90">
        <f>+Table33[[#This Row],[Column5]]/Table33[[#This Row],[Column2]]</f>
        <v>69.507455526159987</v>
      </c>
      <c r="D29" s="96"/>
      <c r="E29" s="95">
        <f>SUM(E22:E28)</f>
        <v>243741561752.68567</v>
      </c>
      <c r="F29" s="97"/>
      <c r="J29" s="69" t="s">
        <v>29</v>
      </c>
      <c r="N29" s="69">
        <v>30</v>
      </c>
      <c r="Q29" s="98">
        <f>SUM(Q24:Q28)</f>
        <v>3154268682.8000002</v>
      </c>
      <c r="R29" s="98">
        <f>SUM(R24:R28)</f>
        <v>127539699919.8</v>
      </c>
      <c r="S29" s="167">
        <f>+R29/Q29</f>
        <v>40.433999999830327</v>
      </c>
      <c r="U29" s="200">
        <v>27963000</v>
      </c>
      <c r="V29" s="202">
        <v>39721</v>
      </c>
      <c r="W29" s="202">
        <v>39813</v>
      </c>
      <c r="X29" s="200">
        <f t="shared" si="4"/>
        <v>92</v>
      </c>
      <c r="Y29" s="200">
        <f>+Table18[[#This Row],[Column1]]*Table18[[#This Row],[Column4]]</f>
        <v>2572596000</v>
      </c>
      <c r="Z29"/>
    </row>
    <row r="30" spans="1:26" ht="15">
      <c r="A30" s="94"/>
      <c r="B30" s="96"/>
      <c r="C30" s="96"/>
      <c r="D30" s="96"/>
      <c r="E30" s="99"/>
      <c r="F30" s="97"/>
      <c r="G30" s="97"/>
      <c r="H30" s="69"/>
      <c r="I30" s="69"/>
      <c r="U30" s="200">
        <v>9757055.5899999999</v>
      </c>
      <c r="V30" s="202">
        <v>39721</v>
      </c>
      <c r="W30" s="202">
        <v>39813</v>
      </c>
      <c r="X30" s="200">
        <f t="shared" si="4"/>
        <v>92</v>
      </c>
      <c r="Y30" s="200">
        <f>+Table18[[#This Row],[Column1]]*Table18[[#This Row],[Column4]]</f>
        <v>897649114.27999997</v>
      </c>
      <c r="Z30"/>
    </row>
    <row r="31" spans="1:26" ht="15">
      <c r="A31" s="84">
        <f>+C5</f>
        <v>40086</v>
      </c>
      <c r="B31" s="54"/>
      <c r="C31" s="85" t="s">
        <v>99</v>
      </c>
      <c r="D31" s="85"/>
      <c r="E31" s="74" t="s">
        <v>100</v>
      </c>
      <c r="F31" s="85"/>
      <c r="J31" s="15"/>
      <c r="K31" s="15"/>
      <c r="L31" s="15"/>
      <c r="M31" s="15"/>
      <c r="N31" s="15"/>
      <c r="U31" s="200">
        <v>62946750</v>
      </c>
      <c r="V31" s="202">
        <v>39721</v>
      </c>
      <c r="W31" s="202">
        <v>39844</v>
      </c>
      <c r="X31" s="200">
        <f t="shared" si="4"/>
        <v>123</v>
      </c>
      <c r="Y31" s="200">
        <f>+Table18[[#This Row],[Column1]]*Table18[[#This Row],[Column4]]</f>
        <v>7742450250</v>
      </c>
      <c r="Z31"/>
    </row>
    <row r="32" spans="1:26" ht="15">
      <c r="A32" s="86" t="s">
        <v>25</v>
      </c>
      <c r="B32" s="44">
        <f>+'1.Estado Situación'!C23</f>
        <v>1794018901.5266666</v>
      </c>
      <c r="C32" s="87">
        <f>+S39</f>
        <v>33.059325916337897</v>
      </c>
      <c r="D32" s="87"/>
      <c r="E32" s="44">
        <f>+B32*C32</f>
        <v>59309055565.640579</v>
      </c>
      <c r="F32" s="75"/>
      <c r="J32" s="163">
        <f>+A31</f>
        <v>40086</v>
      </c>
      <c r="K32" s="88" t="s">
        <v>130</v>
      </c>
      <c r="L32" s="88" t="s">
        <v>129</v>
      </c>
      <c r="M32" s="88" t="s">
        <v>128</v>
      </c>
      <c r="N32" s="83" t="s">
        <v>131</v>
      </c>
      <c r="P32" s="212">
        <f>+Table43[[#This Row],[Column1]]</f>
        <v>40086</v>
      </c>
      <c r="U32" s="200">
        <v>31691027.170000002</v>
      </c>
      <c r="V32" s="202">
        <v>39721</v>
      </c>
      <c r="W32" s="202">
        <v>39844</v>
      </c>
      <c r="X32" s="200">
        <f t="shared" si="4"/>
        <v>123</v>
      </c>
      <c r="Y32" s="200">
        <f>+Table18[[#This Row],[Column1]]*Table18[[#This Row],[Column4]]</f>
        <v>3897996341.9100003</v>
      </c>
      <c r="Z32"/>
    </row>
    <row r="33" spans="1:26" ht="15">
      <c r="A33" s="86" t="s">
        <v>26</v>
      </c>
      <c r="B33" s="44">
        <f>+'1.Estado Situación'!C24</f>
        <v>46714232.100000001</v>
      </c>
      <c r="C33" s="87">
        <v>180</v>
      </c>
      <c r="D33" s="87"/>
      <c r="E33" s="44">
        <f t="shared" ref="E33:E38" si="5">+B33*C33</f>
        <v>8408561778</v>
      </c>
      <c r="F33" s="75"/>
      <c r="G33" s="75"/>
      <c r="H33" s="91"/>
      <c r="I33" s="91"/>
      <c r="J33" s="89" t="s">
        <v>118</v>
      </c>
      <c r="K33" s="90">
        <f>+B37*0.65</f>
        <v>45534389.441666663</v>
      </c>
      <c r="L33" s="69">
        <v>65</v>
      </c>
      <c r="M33" s="91">
        <f>+L33*K33</f>
        <v>2959735313.708333</v>
      </c>
      <c r="P33" s="165" t="s">
        <v>129</v>
      </c>
      <c r="Q33" s="165" t="s">
        <v>130</v>
      </c>
      <c r="R33" s="165" t="s">
        <v>128</v>
      </c>
      <c r="S33" s="166" t="s">
        <v>131</v>
      </c>
      <c r="U33" s="200">
        <v>18641813.579999998</v>
      </c>
      <c r="V33" s="202">
        <v>39721</v>
      </c>
      <c r="W33" s="202">
        <v>39752</v>
      </c>
      <c r="X33" s="200">
        <f t="shared" si="4"/>
        <v>31</v>
      </c>
      <c r="Y33" s="200">
        <f>+Table18[[#This Row],[Column1]]*Table18[[#This Row],[Column4]]</f>
        <v>577896220.9799999</v>
      </c>
      <c r="Z33"/>
    </row>
    <row r="34" spans="1:26" ht="15">
      <c r="A34" s="86" t="s">
        <v>28</v>
      </c>
      <c r="B34" s="44">
        <f>+'1.Estado Situación'!C25</f>
        <v>10811230.393333333</v>
      </c>
      <c r="C34" s="87">
        <v>30</v>
      </c>
      <c r="D34" s="87"/>
      <c r="E34" s="44">
        <f t="shared" si="5"/>
        <v>324336911.79999995</v>
      </c>
      <c r="F34" s="75"/>
      <c r="G34" s="75"/>
      <c r="H34" s="69"/>
      <c r="I34" s="69"/>
      <c r="J34" s="92" t="s">
        <v>119</v>
      </c>
      <c r="K34" s="90">
        <f>0.35*B37</f>
        <v>24518517.391666662</v>
      </c>
      <c r="L34" s="69">
        <v>90</v>
      </c>
      <c r="M34" s="91">
        <f>+L34*K34</f>
        <v>2206666565.2499995</v>
      </c>
      <c r="P34" s="75">
        <v>30</v>
      </c>
      <c r="Q34" s="90">
        <v>2462829148.02</v>
      </c>
      <c r="R34" s="91">
        <f>+P34*Q34</f>
        <v>73884874440.600006</v>
      </c>
      <c r="U34" s="200">
        <v>20972250</v>
      </c>
      <c r="V34" s="202">
        <v>39721</v>
      </c>
      <c r="W34" s="202">
        <v>39872</v>
      </c>
      <c r="X34" s="200">
        <f t="shared" si="4"/>
        <v>151</v>
      </c>
      <c r="Y34" s="200">
        <f>+Table18[[#This Row],[Column1]]*Table18[[#This Row],[Column4]]</f>
        <v>3166809750</v>
      </c>
      <c r="Z34"/>
    </row>
    <row r="35" spans="1:26" ht="15">
      <c r="A35" s="86" t="s">
        <v>29</v>
      </c>
      <c r="B35" s="44">
        <f>+'1.Estado Situación'!C26</f>
        <v>19564510.300000001</v>
      </c>
      <c r="C35" s="87">
        <v>30</v>
      </c>
      <c r="D35" s="87"/>
      <c r="E35" s="44">
        <f t="shared" si="5"/>
        <v>586935309</v>
      </c>
      <c r="F35" s="75"/>
      <c r="G35" s="75"/>
      <c r="H35" s="69"/>
      <c r="I35" s="69"/>
      <c r="J35" s="93"/>
      <c r="M35" s="91">
        <f>SUM(M33:M34)</f>
        <v>5166401878.9583321</v>
      </c>
      <c r="N35" s="164">
        <f>+M35/B37</f>
        <v>73.749999999999986</v>
      </c>
      <c r="P35" s="75">
        <v>60</v>
      </c>
      <c r="Q35" s="90">
        <v>149082970.72</v>
      </c>
      <c r="R35" s="91">
        <f>+P35*Q35</f>
        <v>8944978243.2000008</v>
      </c>
      <c r="U35" s="200">
        <v>55926000</v>
      </c>
      <c r="V35" s="202">
        <v>39721</v>
      </c>
      <c r="W35" s="202">
        <v>39872</v>
      </c>
      <c r="X35" s="200">
        <f t="shared" si="4"/>
        <v>151</v>
      </c>
      <c r="Y35" s="200">
        <f>+Table18[[#This Row],[Column1]]*Table18[[#This Row],[Column4]]</f>
        <v>8444826000</v>
      </c>
      <c r="Z35"/>
    </row>
    <row r="36" spans="1:26" ht="15">
      <c r="A36" s="17" t="s">
        <v>238</v>
      </c>
      <c r="B36" s="44">
        <f>+'1.Estado Situación'!C27</f>
        <v>9808092.9133333322</v>
      </c>
      <c r="C36" s="87">
        <v>0</v>
      </c>
      <c r="D36" s="87"/>
      <c r="E36" s="44">
        <f t="shared" si="5"/>
        <v>0</v>
      </c>
      <c r="F36" s="75"/>
      <c r="G36" s="75"/>
      <c r="H36" s="69"/>
      <c r="I36" s="69"/>
      <c r="L36" s="91"/>
      <c r="P36" s="75">
        <v>90</v>
      </c>
      <c r="Q36" s="90">
        <v>58664418.079999998</v>
      </c>
      <c r="R36" s="91">
        <f>+P36*Q36</f>
        <v>5279797627.1999998</v>
      </c>
      <c r="U36" s="200">
        <v>74567813.569999993</v>
      </c>
      <c r="V36" s="202">
        <v>39721</v>
      </c>
      <c r="W36" s="202">
        <v>39903</v>
      </c>
      <c r="X36" s="200">
        <f t="shared" si="4"/>
        <v>182</v>
      </c>
      <c r="Y36" s="200">
        <f>+Table18[[#This Row],[Column1]]*Table18[[#This Row],[Column4]]</f>
        <v>13571342069.739998</v>
      </c>
      <c r="Z36"/>
    </row>
    <row r="37" spans="1:26" ht="15">
      <c r="A37" s="86" t="s">
        <v>32</v>
      </c>
      <c r="B37" s="44">
        <f>+'1.Estado Situación'!C28</f>
        <v>70052906.833333328</v>
      </c>
      <c r="C37" s="87">
        <f>+N35</f>
        <v>73.749999999999986</v>
      </c>
      <c r="D37" s="87"/>
      <c r="E37" s="44">
        <f t="shared" si="5"/>
        <v>5166401878.9583321</v>
      </c>
      <c r="F37" s="75"/>
      <c r="G37" s="75"/>
      <c r="H37" s="69"/>
      <c r="I37" s="69"/>
      <c r="J37" s="69" t="s">
        <v>26</v>
      </c>
      <c r="N37" s="69">
        <v>180</v>
      </c>
      <c r="P37" s="75">
        <v>120</v>
      </c>
      <c r="Q37" s="90">
        <v>2045185.48</v>
      </c>
      <c r="R37" s="91">
        <f>+P37*Q37</f>
        <v>245422257.59999999</v>
      </c>
      <c r="U37" s="200">
        <v>22370400</v>
      </c>
      <c r="V37" s="202">
        <v>39721</v>
      </c>
      <c r="W37" s="202">
        <v>39903</v>
      </c>
      <c r="X37" s="200">
        <f t="shared" si="4"/>
        <v>182</v>
      </c>
      <c r="Y37" s="200">
        <f>+Table18[[#This Row],[Column1]]*Table18[[#This Row],[Column4]]</f>
        <v>4071412800</v>
      </c>
      <c r="Z37"/>
    </row>
    <row r="38" spans="1:26" ht="15.75" thickBot="1">
      <c r="A38" s="159" t="s">
        <v>27</v>
      </c>
      <c r="B38" s="155">
        <f>+'1.Estado Situación'!C33</f>
        <v>1195345549.8999999</v>
      </c>
      <c r="C38" s="172">
        <f>+'10.Puntualidad'!Z63</f>
        <v>67.778922838382883</v>
      </c>
      <c r="D38" s="172"/>
      <c r="E38" s="155">
        <f t="shared" si="5"/>
        <v>81019233791.87645</v>
      </c>
      <c r="F38" s="75"/>
      <c r="G38" s="75"/>
      <c r="H38" s="69"/>
      <c r="I38" s="69"/>
      <c r="J38" s="69" t="s">
        <v>28</v>
      </c>
      <c r="N38" s="69">
        <v>30</v>
      </c>
      <c r="P38" s="75">
        <v>360</v>
      </c>
      <c r="Q38" s="90">
        <v>0</v>
      </c>
      <c r="R38" s="91">
        <f>+P38*Q38</f>
        <v>0</v>
      </c>
      <c r="U38" s="200">
        <v>25166702.440000001</v>
      </c>
      <c r="V38" s="202">
        <v>39721</v>
      </c>
      <c r="W38" s="202">
        <v>39903</v>
      </c>
      <c r="X38" s="200">
        <f t="shared" si="4"/>
        <v>182</v>
      </c>
      <c r="Y38" s="200">
        <f>+Table18[[#This Row],[Column1]]*Table18[[#This Row],[Column4]]</f>
        <v>4580339844.0799999</v>
      </c>
      <c r="Z38"/>
    </row>
    <row r="39" spans="1:26" ht="15.75" thickTop="1">
      <c r="A39" s="94" t="s">
        <v>89</v>
      </c>
      <c r="B39" s="95">
        <f>SUM(B32:B38)</f>
        <v>3146315423.9666662</v>
      </c>
      <c r="C39" s="97">
        <f>+Table33[[#This Row],[Column5]]/Table33[[#This Row],[Column2]]</f>
        <v>49.205023773520921</v>
      </c>
      <c r="D39" s="96"/>
      <c r="E39" s="95">
        <f>SUM(E32:E38)</f>
        <v>154814525235.27536</v>
      </c>
      <c r="F39" s="97"/>
      <c r="H39" s="69"/>
      <c r="I39" s="69"/>
      <c r="J39" s="69" t="s">
        <v>29</v>
      </c>
      <c r="N39" s="69">
        <v>30</v>
      </c>
      <c r="Q39" s="98">
        <f>SUM(Q34:Q38)</f>
        <v>2672621722.2999997</v>
      </c>
      <c r="R39" s="98">
        <f>SUM(R34:R38)</f>
        <v>88355072568.600006</v>
      </c>
      <c r="S39" s="167">
        <f>+R39/Q39</f>
        <v>33.059325916337897</v>
      </c>
      <c r="U39" s="200">
        <v>250000000</v>
      </c>
      <c r="V39" s="202">
        <v>39721</v>
      </c>
      <c r="W39" s="202">
        <v>39782</v>
      </c>
      <c r="X39" s="200">
        <f t="shared" si="4"/>
        <v>61</v>
      </c>
      <c r="Y39" s="200">
        <f>+Table18[[#This Row],[Column1]]*Table18[[#This Row],[Column4]]</f>
        <v>15250000000</v>
      </c>
      <c r="Z39"/>
    </row>
    <row r="40" spans="1:26" ht="15">
      <c r="A40" s="100"/>
      <c r="B40" s="87"/>
      <c r="C40" s="87"/>
      <c r="D40" s="87"/>
      <c r="E40" s="101"/>
      <c r="F40" s="75"/>
      <c r="G40" s="75"/>
      <c r="H40" s="69"/>
      <c r="I40" s="69"/>
      <c r="U40" s="200">
        <v>83889000</v>
      </c>
      <c r="V40" s="202">
        <v>39721</v>
      </c>
      <c r="W40" s="202">
        <v>39752</v>
      </c>
      <c r="X40" s="200">
        <f t="shared" si="4"/>
        <v>31</v>
      </c>
      <c r="Y40" s="200">
        <f>+Table18[[#This Row],[Column1]]*Table18[[#This Row],[Column4]]</f>
        <v>2600559000</v>
      </c>
      <c r="Z40"/>
    </row>
    <row r="41" spans="1:26" ht="15">
      <c r="A41" s="84">
        <f>+E5</f>
        <v>40451</v>
      </c>
      <c r="B41" s="54"/>
      <c r="C41" s="85" t="s">
        <v>99</v>
      </c>
      <c r="D41" s="85"/>
      <c r="E41" s="74" t="s">
        <v>100</v>
      </c>
      <c r="F41" s="85"/>
      <c r="G41" s="85"/>
      <c r="H41" s="69"/>
      <c r="I41" s="69"/>
      <c r="J41" s="15"/>
      <c r="K41" s="15"/>
      <c r="L41" s="15"/>
      <c r="M41" s="15"/>
      <c r="N41" s="15"/>
      <c r="U41" s="200">
        <v>83746388.700000003</v>
      </c>
      <c r="V41" s="202">
        <v>39721</v>
      </c>
      <c r="W41" s="202">
        <v>39844</v>
      </c>
      <c r="X41" s="200">
        <f t="shared" si="4"/>
        <v>123</v>
      </c>
      <c r="Y41" s="200">
        <f>+Table18[[#This Row],[Column1]]*Table18[[#This Row],[Column4]]</f>
        <v>10300805810.1</v>
      </c>
      <c r="Z41"/>
    </row>
    <row r="42" spans="1:26" ht="15">
      <c r="A42" s="86" t="s">
        <v>25</v>
      </c>
      <c r="B42" s="44">
        <f>+'1.Estado Situación'!D23</f>
        <v>1518609648.5666666</v>
      </c>
      <c r="C42" s="87">
        <f>+S49</f>
        <v>50.988000000014956</v>
      </c>
      <c r="D42" s="87"/>
      <c r="E42" s="44">
        <f>+B42*C42</f>
        <v>77430868761.139908</v>
      </c>
      <c r="F42" s="75"/>
      <c r="G42" s="75"/>
      <c r="H42" s="69"/>
      <c r="I42" s="69"/>
      <c r="J42" s="163">
        <f>+A41</f>
        <v>40451</v>
      </c>
      <c r="K42" s="88" t="s">
        <v>130</v>
      </c>
      <c r="L42" s="88" t="s">
        <v>129</v>
      </c>
      <c r="M42" s="88" t="s">
        <v>128</v>
      </c>
      <c r="N42" s="83" t="s">
        <v>131</v>
      </c>
      <c r="P42" s="212">
        <f>+Table42[[#This Row],[Column1]]</f>
        <v>40451</v>
      </c>
      <c r="U42" s="200">
        <v>223704000</v>
      </c>
      <c r="V42" s="202">
        <v>39721</v>
      </c>
      <c r="W42" s="202">
        <v>39872</v>
      </c>
      <c r="X42" s="200">
        <f t="shared" si="4"/>
        <v>151</v>
      </c>
      <c r="Y42" s="200">
        <f>+Table18[[#This Row],[Column1]]*Table18[[#This Row],[Column4]]</f>
        <v>33779304000</v>
      </c>
      <c r="Z42"/>
    </row>
    <row r="43" spans="1:26" ht="15">
      <c r="A43" s="86" t="s">
        <v>26</v>
      </c>
      <c r="B43" s="44">
        <f>+'1.Estado Situación'!D24</f>
        <v>48688929.620000005</v>
      </c>
      <c r="C43" s="87">
        <v>180</v>
      </c>
      <c r="D43" s="87"/>
      <c r="E43" s="44">
        <f t="shared" ref="E43:E48" si="6">+B43*C43</f>
        <v>8764007331.6000004</v>
      </c>
      <c r="F43" s="75"/>
      <c r="G43" s="75"/>
      <c r="H43" s="69"/>
      <c r="I43" s="69"/>
      <c r="J43" s="89" t="s">
        <v>118</v>
      </c>
      <c r="K43" s="90">
        <f>+B47*0.65</f>
        <v>41323371.869000003</v>
      </c>
      <c r="L43" s="69">
        <v>65</v>
      </c>
      <c r="M43" s="91">
        <f>+L43*K43</f>
        <v>2686019171.4850001</v>
      </c>
      <c r="P43" s="165" t="s">
        <v>129</v>
      </c>
      <c r="Q43" s="165" t="s">
        <v>130</v>
      </c>
      <c r="R43" s="165" t="s">
        <v>128</v>
      </c>
      <c r="S43" s="166" t="s">
        <v>131</v>
      </c>
      <c r="U43" s="200">
        <v>164358555</v>
      </c>
      <c r="V43" s="202">
        <v>39721</v>
      </c>
      <c r="W43" s="202">
        <v>39903</v>
      </c>
      <c r="X43" s="200">
        <f t="shared" si="4"/>
        <v>182</v>
      </c>
      <c r="Y43" s="200">
        <f>+Table18[[#This Row],[Column1]]*Table18[[#This Row],[Column4]]</f>
        <v>29913257010</v>
      </c>
      <c r="Z43"/>
    </row>
    <row r="44" spans="1:26" ht="15">
      <c r="A44" s="86" t="s">
        <v>28</v>
      </c>
      <c r="B44" s="44">
        <f>+'1.Estado Situación'!D25</f>
        <v>13211948.406666666</v>
      </c>
      <c r="C44" s="87">
        <v>30</v>
      </c>
      <c r="D44" s="87"/>
      <c r="E44" s="44">
        <f t="shared" si="6"/>
        <v>396358452.19999999</v>
      </c>
      <c r="F44" s="75"/>
      <c r="G44" s="75"/>
      <c r="H44" s="69"/>
      <c r="I44" s="69"/>
      <c r="J44" s="92" t="s">
        <v>119</v>
      </c>
      <c r="K44" s="90">
        <f>0.35*B47</f>
        <v>22251046.390999999</v>
      </c>
      <c r="L44" s="69">
        <v>90</v>
      </c>
      <c r="M44" s="91">
        <f>+L44*K44</f>
        <v>2002594175.1899998</v>
      </c>
      <c r="P44" s="75">
        <v>30</v>
      </c>
      <c r="Q44" s="90">
        <v>1050574154.87</v>
      </c>
      <c r="R44" s="91">
        <f>+P44*Q44</f>
        <v>31517224646.099998</v>
      </c>
      <c r="U44" s="201">
        <f>SUM(U23:U43)</f>
        <v>1753528546.4900002</v>
      </c>
      <c r="V44" s="200"/>
      <c r="W44" s="200"/>
      <c r="X44" s="200"/>
      <c r="Y44" s="201">
        <f>SUM(Y23:Y43)</f>
        <v>212617349825.06003</v>
      </c>
      <c r="Z44" s="213">
        <f>+Y44/U44</f>
        <v>121.2511482921972</v>
      </c>
    </row>
    <row r="45" spans="1:26" ht="15">
      <c r="A45" s="86" t="s">
        <v>29</v>
      </c>
      <c r="B45" s="44">
        <f>+'1.Estado Situación'!D26</f>
        <v>21238291.140000001</v>
      </c>
      <c r="C45" s="87">
        <v>30</v>
      </c>
      <c r="D45" s="87"/>
      <c r="E45" s="44">
        <f t="shared" si="6"/>
        <v>637148734.20000005</v>
      </c>
      <c r="F45" s="75"/>
      <c r="G45" s="75"/>
      <c r="H45" s="69"/>
      <c r="I45" s="69"/>
      <c r="J45" s="93"/>
      <c r="M45" s="91">
        <f>SUM(M43:M44)</f>
        <v>4688613346.6750002</v>
      </c>
      <c r="N45" s="164">
        <f>+M45/B47</f>
        <v>73.75</v>
      </c>
      <c r="P45" s="75">
        <v>60</v>
      </c>
      <c r="Q45" s="90">
        <v>868340997.04999995</v>
      </c>
      <c r="R45" s="91">
        <f>+P45*Q45</f>
        <v>52100459823</v>
      </c>
      <c r="U45" s="200"/>
      <c r="V45" s="200"/>
      <c r="W45" s="200"/>
      <c r="X45" s="200"/>
      <c r="Y45" s="200"/>
      <c r="Z45"/>
    </row>
    <row r="46" spans="1:26" ht="15">
      <c r="A46" s="17" t="s">
        <v>238</v>
      </c>
      <c r="B46" s="44">
        <f>+'1.Estado Situación'!D27</f>
        <v>151696503.13333333</v>
      </c>
      <c r="C46" s="87">
        <v>0</v>
      </c>
      <c r="D46" s="87"/>
      <c r="E46" s="44">
        <f t="shared" si="6"/>
        <v>0</v>
      </c>
      <c r="F46" s="75"/>
      <c r="G46" s="75"/>
      <c r="H46" s="69"/>
      <c r="I46" s="69"/>
      <c r="P46" s="75">
        <v>90</v>
      </c>
      <c r="Q46" s="90">
        <v>351709994.61000001</v>
      </c>
      <c r="R46" s="91">
        <f>+P46*Q46</f>
        <v>31653899514.900002</v>
      </c>
      <c r="U46" s="212">
        <f>+J32</f>
        <v>40086</v>
      </c>
      <c r="V46"/>
      <c r="W46"/>
      <c r="X46"/>
      <c r="Y46" s="200"/>
      <c r="Z46"/>
    </row>
    <row r="47" spans="1:26">
      <c r="A47" s="86" t="s">
        <v>32</v>
      </c>
      <c r="B47" s="44">
        <f>+'1.Estado Situación'!D28</f>
        <v>63574418.259999998</v>
      </c>
      <c r="C47" s="87">
        <f>+N45</f>
        <v>73.75</v>
      </c>
      <c r="D47" s="87"/>
      <c r="E47" s="44">
        <f t="shared" si="6"/>
        <v>4688613346.6750002</v>
      </c>
      <c r="F47" s="75"/>
      <c r="G47" s="75"/>
      <c r="H47" s="69"/>
      <c r="I47" s="69"/>
      <c r="J47" s="69" t="s">
        <v>26</v>
      </c>
      <c r="N47" s="69">
        <v>180</v>
      </c>
      <c r="P47" s="75">
        <v>120</v>
      </c>
      <c r="Q47" s="90">
        <v>7289326.3099999996</v>
      </c>
      <c r="R47" s="91">
        <f>+P47*Q47</f>
        <v>874719157.19999993</v>
      </c>
      <c r="U47" s="210" t="s">
        <v>130</v>
      </c>
      <c r="V47" s="210" t="s">
        <v>198</v>
      </c>
      <c r="W47" s="210" t="s">
        <v>197</v>
      </c>
      <c r="X47" s="210" t="s">
        <v>129</v>
      </c>
      <c r="Y47" s="210" t="s">
        <v>128</v>
      </c>
      <c r="Z47" s="211" t="s">
        <v>131</v>
      </c>
    </row>
    <row r="48" spans="1:26" ht="15.75" thickBot="1">
      <c r="A48" s="159" t="s">
        <v>27</v>
      </c>
      <c r="B48" s="155">
        <f>+'1.Estado Situación'!D33</f>
        <v>662288184.38</v>
      </c>
      <c r="C48" s="172">
        <f>+'10.Puntualidad'!Z80</f>
        <v>79.140131266337562</v>
      </c>
      <c r="D48" s="172"/>
      <c r="E48" s="155">
        <f t="shared" si="6"/>
        <v>52413573847.977577</v>
      </c>
      <c r="F48" s="75"/>
      <c r="G48" s="75"/>
      <c r="H48" s="69"/>
      <c r="I48" s="69"/>
      <c r="J48" s="69" t="s">
        <v>28</v>
      </c>
      <c r="N48" s="69">
        <v>30</v>
      </c>
      <c r="P48" s="75">
        <v>360</v>
      </c>
      <c r="Q48" s="90">
        <v>0</v>
      </c>
      <c r="R48" s="91">
        <f>+P48*Q48</f>
        <v>0</v>
      </c>
      <c r="U48" s="200">
        <v>519900000</v>
      </c>
      <c r="V48" s="206">
        <v>40086</v>
      </c>
      <c r="W48" s="206">
        <v>40116</v>
      </c>
      <c r="X48" s="200">
        <f t="shared" ref="X48:X62" si="7">+W48-V48</f>
        <v>30</v>
      </c>
      <c r="Y48" s="207">
        <f>+Table30[[#This Row],[Column4]]*Table30[[#This Row],[Column1]]</f>
        <v>15597000000</v>
      </c>
      <c r="Z48"/>
    </row>
    <row r="49" spans="1:26" ht="15.75" thickTop="1">
      <c r="A49" s="94" t="s">
        <v>89</v>
      </c>
      <c r="B49" s="95">
        <f>SUM(B42:B48)</f>
        <v>2479307923.5066667</v>
      </c>
      <c r="C49" s="97">
        <f>+Table33[[#This Row],[Column5]]/Table33[[#This Row],[Column2]]</f>
        <v>58.214056069991983</v>
      </c>
      <c r="D49" s="96"/>
      <c r="E49" s="95">
        <f>SUM(E42:E48)</f>
        <v>144330570473.79248</v>
      </c>
      <c r="F49" s="97"/>
      <c r="H49" s="69"/>
      <c r="I49" s="69"/>
      <c r="J49" s="69" t="s">
        <v>29</v>
      </c>
      <c r="N49" s="69">
        <v>30</v>
      </c>
      <c r="Q49" s="98">
        <f>SUM(Q44:Q48)</f>
        <v>2277914472.8400002</v>
      </c>
      <c r="R49" s="98">
        <f>SUM(R44:R48)</f>
        <v>116146303141.2</v>
      </c>
      <c r="S49" s="167">
        <f>+R49/Q49</f>
        <v>50.988000000014956</v>
      </c>
      <c r="U49" s="200">
        <v>88759500</v>
      </c>
      <c r="V49" s="206">
        <v>40086</v>
      </c>
      <c r="W49" s="206">
        <v>40119</v>
      </c>
      <c r="X49" s="200">
        <f t="shared" si="7"/>
        <v>33</v>
      </c>
      <c r="Y49" s="200">
        <f>+Table30[[#This Row],[Column4]]*Table30[[#This Row],[Column1]]</f>
        <v>2929063500</v>
      </c>
      <c r="Z49"/>
    </row>
    <row r="50" spans="1:26" ht="15">
      <c r="A50" s="94"/>
      <c r="B50" s="96"/>
      <c r="C50" s="96"/>
      <c r="D50" s="96"/>
      <c r="E50" s="96"/>
      <c r="F50" s="97"/>
      <c r="G50" s="97"/>
      <c r="H50" s="69"/>
      <c r="I50" s="69"/>
      <c r="U50" s="200">
        <v>147932500</v>
      </c>
      <c r="V50" s="206">
        <v>40086</v>
      </c>
      <c r="W50" s="206">
        <v>40141</v>
      </c>
      <c r="X50" s="200">
        <f t="shared" si="7"/>
        <v>55</v>
      </c>
      <c r="Y50" s="200">
        <f>+Table30[[#This Row],[Column4]]*Table30[[#This Row],[Column1]]</f>
        <v>8136287500</v>
      </c>
      <c r="Z50"/>
    </row>
    <row r="51" spans="1:26" ht="15">
      <c r="A51" s="84">
        <f>+G5</f>
        <v>40816</v>
      </c>
      <c r="B51" s="54"/>
      <c r="C51" s="85" t="s">
        <v>99</v>
      </c>
      <c r="D51" s="85"/>
      <c r="E51" s="74" t="s">
        <v>100</v>
      </c>
      <c r="F51" s="85"/>
      <c r="G51" s="85"/>
      <c r="H51" s="69"/>
      <c r="I51" s="69"/>
      <c r="J51" s="15"/>
      <c r="K51" s="15"/>
      <c r="L51" s="15"/>
      <c r="M51" s="15"/>
      <c r="N51" s="15"/>
      <c r="U51" s="200">
        <v>88759500</v>
      </c>
      <c r="V51" s="206">
        <v>40086</v>
      </c>
      <c r="W51" s="206">
        <v>40134</v>
      </c>
      <c r="X51" s="200">
        <f t="shared" si="7"/>
        <v>48</v>
      </c>
      <c r="Y51" s="200">
        <f>+Table30[[#This Row],[Column4]]*Table30[[#This Row],[Column1]]</f>
        <v>4260456000</v>
      </c>
      <c r="Z51"/>
    </row>
    <row r="52" spans="1:26" ht="15">
      <c r="A52" s="86" t="s">
        <v>25</v>
      </c>
      <c r="B52" s="44">
        <f>+'1.Estado Situación'!E23</f>
        <v>1846115543.3933334</v>
      </c>
      <c r="C52" s="87">
        <f>+N55</f>
        <v>73.75</v>
      </c>
      <c r="D52" s="87"/>
      <c r="E52" s="44">
        <f>+B52*C52</f>
        <v>136151021325.25835</v>
      </c>
      <c r="F52" s="75"/>
      <c r="G52" s="75"/>
      <c r="H52" s="69"/>
      <c r="I52" s="69"/>
      <c r="J52" s="163">
        <f>+A51</f>
        <v>40816</v>
      </c>
      <c r="K52" s="88" t="s">
        <v>130</v>
      </c>
      <c r="L52" s="88" t="s">
        <v>129</v>
      </c>
      <c r="M52" s="88" t="s">
        <v>128</v>
      </c>
      <c r="N52" s="83" t="s">
        <v>131</v>
      </c>
      <c r="P52" s="212">
        <f>+Table41[[#This Row],[Column1]]</f>
        <v>40816</v>
      </c>
      <c r="U52" s="200">
        <v>88759500</v>
      </c>
      <c r="V52" s="206">
        <v>40086</v>
      </c>
      <c r="W52" s="206">
        <v>40171</v>
      </c>
      <c r="X52" s="200">
        <f t="shared" si="7"/>
        <v>85</v>
      </c>
      <c r="Y52" s="200">
        <f>+Table30[[#This Row],[Column4]]*Table30[[#This Row],[Column1]]</f>
        <v>7544557500</v>
      </c>
      <c r="Z52"/>
    </row>
    <row r="53" spans="1:26" ht="15">
      <c r="A53" s="86" t="s">
        <v>26</v>
      </c>
      <c r="B53" s="44">
        <f>+'1.Estado Situación'!E24</f>
        <v>28745245.713333335</v>
      </c>
      <c r="C53" s="87">
        <v>180</v>
      </c>
      <c r="D53" s="87"/>
      <c r="E53" s="44">
        <f t="shared" ref="E53:E58" si="8">+B53*C53</f>
        <v>5174144228.4000006</v>
      </c>
      <c r="F53" s="75"/>
      <c r="G53" s="75"/>
      <c r="H53" s="69"/>
      <c r="I53" s="69"/>
      <c r="J53" s="89" t="s">
        <v>118</v>
      </c>
      <c r="K53" s="90">
        <f>+B57*0.65</f>
        <v>38764246.039999999</v>
      </c>
      <c r="L53" s="69">
        <v>65</v>
      </c>
      <c r="M53" s="91">
        <f>+L53*K53</f>
        <v>2519675992.5999999</v>
      </c>
      <c r="P53" s="165" t="s">
        <v>129</v>
      </c>
      <c r="Q53" s="165" t="s">
        <v>130</v>
      </c>
      <c r="R53" s="165" t="s">
        <v>128</v>
      </c>
      <c r="S53" s="166" t="s">
        <v>131</v>
      </c>
      <c r="U53" s="200">
        <v>15041386.060000001</v>
      </c>
      <c r="V53" s="206">
        <v>40086</v>
      </c>
      <c r="W53" s="206">
        <v>40100</v>
      </c>
      <c r="X53" s="200">
        <f t="shared" si="7"/>
        <v>14</v>
      </c>
      <c r="Y53" s="200">
        <f>+Table30[[#This Row],[Column4]]*Table30[[#This Row],[Column1]]</f>
        <v>210579404.84</v>
      </c>
      <c r="Z53"/>
    </row>
    <row r="54" spans="1:26" ht="15">
      <c r="A54" s="86" t="s">
        <v>28</v>
      </c>
      <c r="B54" s="44">
        <f>+'1.Estado Situación'!E25</f>
        <v>25359242.34</v>
      </c>
      <c r="C54" s="87">
        <v>30</v>
      </c>
      <c r="D54" s="87"/>
      <c r="E54" s="44">
        <f t="shared" si="8"/>
        <v>760777270.20000005</v>
      </c>
      <c r="F54" s="75"/>
      <c r="G54" s="75"/>
      <c r="H54" s="69"/>
      <c r="I54" s="69"/>
      <c r="J54" s="92" t="s">
        <v>119</v>
      </c>
      <c r="K54" s="90">
        <f>0.35*B57</f>
        <v>20873055.559999999</v>
      </c>
      <c r="L54" s="69">
        <v>90</v>
      </c>
      <c r="M54" s="91">
        <f>+L54*K54</f>
        <v>1878575000.3999999</v>
      </c>
      <c r="P54" s="75">
        <v>30</v>
      </c>
      <c r="Q54" s="90">
        <v>931272985.86000001</v>
      </c>
      <c r="R54" s="91">
        <f>+P54*Q54</f>
        <v>27938189575.799999</v>
      </c>
      <c r="U54" s="200">
        <v>15066635.18</v>
      </c>
      <c r="V54" s="206">
        <v>40086</v>
      </c>
      <c r="W54" s="206">
        <v>40105</v>
      </c>
      <c r="X54" s="200">
        <f t="shared" si="7"/>
        <v>19</v>
      </c>
      <c r="Y54" s="200">
        <f>+Table30[[#This Row],[Column4]]*Table30[[#This Row],[Column1]]</f>
        <v>286266068.42000002</v>
      </c>
      <c r="Z54"/>
    </row>
    <row r="55" spans="1:26" ht="15">
      <c r="A55" s="24" t="s">
        <v>29</v>
      </c>
      <c r="B55" s="44">
        <f>+'1.Estado Situación'!E26</f>
        <v>21719457.153333332</v>
      </c>
      <c r="C55" s="87">
        <v>30</v>
      </c>
      <c r="D55" s="87"/>
      <c r="E55" s="44">
        <f t="shared" si="8"/>
        <v>651583714.60000002</v>
      </c>
      <c r="F55" s="75"/>
      <c r="G55" s="75"/>
      <c r="H55" s="69"/>
      <c r="I55" s="69"/>
      <c r="J55" s="93"/>
      <c r="M55" s="91">
        <f>SUM(M53:M54)</f>
        <v>4398250993</v>
      </c>
      <c r="N55" s="164">
        <f>+M55/B57</f>
        <v>73.75</v>
      </c>
      <c r="P55" s="75">
        <v>60</v>
      </c>
      <c r="Q55" s="90">
        <v>928503812.54999995</v>
      </c>
      <c r="R55" s="91">
        <f>+P55*Q55</f>
        <v>55710228753</v>
      </c>
      <c r="U55" s="200">
        <v>50119939.289999999</v>
      </c>
      <c r="V55" s="206">
        <v>40086</v>
      </c>
      <c r="W55" s="206">
        <v>40133</v>
      </c>
      <c r="X55" s="200">
        <f t="shared" si="7"/>
        <v>47</v>
      </c>
      <c r="Y55" s="200">
        <f>+Table30[[#This Row],[Column4]]*Table30[[#This Row],[Column1]]</f>
        <v>2355637146.6300001</v>
      </c>
      <c r="Z55"/>
    </row>
    <row r="56" spans="1:26" ht="15">
      <c r="A56" s="17" t="s">
        <v>238</v>
      </c>
      <c r="B56" s="44">
        <f>+'1.Estado Situación'!E27</f>
        <v>57496381.733333327</v>
      </c>
      <c r="C56" s="87">
        <v>0</v>
      </c>
      <c r="D56" s="87"/>
      <c r="E56" s="44">
        <f t="shared" si="8"/>
        <v>0</v>
      </c>
      <c r="F56" s="75"/>
      <c r="G56" s="75"/>
      <c r="H56" s="69"/>
      <c r="I56" s="69"/>
      <c r="P56" s="75">
        <v>90</v>
      </c>
      <c r="Q56" s="90">
        <v>604510534.67999995</v>
      </c>
      <c r="R56" s="91">
        <f>+P56*Q56</f>
        <v>54405948121.199997</v>
      </c>
      <c r="U56" s="200">
        <v>89943628.650000006</v>
      </c>
      <c r="V56" s="206">
        <v>40086</v>
      </c>
      <c r="W56" s="206">
        <v>40155</v>
      </c>
      <c r="X56" s="200">
        <f t="shared" si="7"/>
        <v>69</v>
      </c>
      <c r="Y56" s="200">
        <f>+Table30[[#This Row],[Column4]]*Table30[[#This Row],[Column1]]</f>
        <v>6206110376.8500004</v>
      </c>
      <c r="Z56"/>
    </row>
    <row r="57" spans="1:26" ht="15">
      <c r="A57" s="24" t="s">
        <v>32</v>
      </c>
      <c r="B57" s="90">
        <f>+'1.Estado Situación'!E28</f>
        <v>59637301.600000001</v>
      </c>
      <c r="C57" s="75">
        <f>+S59</f>
        <v>74.753999999606265</v>
      </c>
      <c r="D57" s="75"/>
      <c r="E57" s="44">
        <f t="shared" si="8"/>
        <v>4458126843.7829189</v>
      </c>
      <c r="F57" s="75"/>
      <c r="G57" s="75"/>
      <c r="H57" s="69"/>
      <c r="I57" s="69"/>
      <c r="J57" s="69" t="s">
        <v>26</v>
      </c>
      <c r="N57" s="69">
        <v>180</v>
      </c>
      <c r="P57" s="75">
        <v>120</v>
      </c>
      <c r="Q57" s="90">
        <v>170027241.55000001</v>
      </c>
      <c r="R57" s="91">
        <f>+P57*Q57</f>
        <v>20403268986</v>
      </c>
      <c r="U57" s="200">
        <v>59564299.210000001</v>
      </c>
      <c r="V57" s="206">
        <v>40086</v>
      </c>
      <c r="W57" s="206">
        <v>40203</v>
      </c>
      <c r="X57" s="200">
        <f t="shared" si="7"/>
        <v>117</v>
      </c>
      <c r="Y57" s="200">
        <f>+Table30[[#This Row],[Column4]]*Table30[[#This Row],[Column1]]</f>
        <v>6969023007.5699997</v>
      </c>
      <c r="Z57"/>
    </row>
    <row r="58" spans="1:26" ht="15.75" thickBot="1">
      <c r="A58" s="159" t="s">
        <v>27</v>
      </c>
      <c r="B58" s="155">
        <f>+'1.Estado Situación'!E33</f>
        <v>219476738.86666667</v>
      </c>
      <c r="C58" s="172">
        <f>+'10.Puntualidad'!Z93</f>
        <v>105.7406778014507</v>
      </c>
      <c r="D58" s="172"/>
      <c r="E58" s="155">
        <f t="shared" si="8"/>
        <v>23207619129.413334</v>
      </c>
      <c r="F58" s="75"/>
      <c r="G58" s="75"/>
      <c r="H58" s="69"/>
      <c r="I58" s="69"/>
      <c r="J58" s="69" t="s">
        <v>28</v>
      </c>
      <c r="N58" s="69">
        <v>30</v>
      </c>
      <c r="P58" s="75">
        <v>360</v>
      </c>
      <c r="Q58" s="90">
        <v>134858740.44</v>
      </c>
      <c r="R58" s="91">
        <f>+P58*Q58</f>
        <v>48549146558.400002</v>
      </c>
      <c r="U58" s="200">
        <v>71629497.760000005</v>
      </c>
      <c r="V58" s="206">
        <v>40086</v>
      </c>
      <c r="W58" s="206">
        <v>40211</v>
      </c>
      <c r="X58" s="200">
        <f t="shared" si="7"/>
        <v>125</v>
      </c>
      <c r="Y58" s="200">
        <f>+Table30[[#This Row],[Column4]]*Table30[[#This Row],[Column1]]</f>
        <v>8953687220</v>
      </c>
      <c r="Z58"/>
    </row>
    <row r="59" spans="1:26" ht="15.75" thickTop="1">
      <c r="A59" s="83" t="s">
        <v>89</v>
      </c>
      <c r="B59" s="103">
        <f>SUM(B52:B58)</f>
        <v>2258549910.8000002</v>
      </c>
      <c r="C59" s="97">
        <f>+Table33[[#This Row],[Column5]]/Table33[[#This Row],[Column2]]</f>
        <v>75.448088039505024</v>
      </c>
      <c r="D59" s="97"/>
      <c r="E59" s="95">
        <f>SUM(E52:E58)</f>
        <v>170403272511.65463</v>
      </c>
      <c r="F59" s="97"/>
      <c r="H59" s="69"/>
      <c r="I59" s="69"/>
      <c r="J59" s="69" t="s">
        <v>29</v>
      </c>
      <c r="N59" s="69">
        <v>30</v>
      </c>
      <c r="Q59" s="98">
        <f>SUM(Q54:Q58)</f>
        <v>2769173315.0799999</v>
      </c>
      <c r="R59" s="98">
        <f>SUM(R54:R58)</f>
        <v>207006781994.39999</v>
      </c>
      <c r="S59" s="167">
        <f>+R59/Q59</f>
        <v>74.753999999606265</v>
      </c>
      <c r="U59" s="200">
        <v>88759500</v>
      </c>
      <c r="V59" s="206">
        <v>40086</v>
      </c>
      <c r="W59" s="206">
        <v>40259</v>
      </c>
      <c r="X59" s="200">
        <f t="shared" si="7"/>
        <v>173</v>
      </c>
      <c r="Y59" s="200">
        <f>+Table30[[#This Row],[Column4]]*Table30[[#This Row],[Column1]]</f>
        <v>15355393500</v>
      </c>
      <c r="Z59"/>
    </row>
    <row r="60" spans="1:26" ht="15">
      <c r="A60" s="83"/>
      <c r="B60" s="97"/>
      <c r="C60" s="97"/>
      <c r="D60" s="97"/>
      <c r="E60" s="97"/>
      <c r="F60" s="97"/>
      <c r="G60" s="97"/>
      <c r="H60" s="69"/>
      <c r="I60" s="69"/>
      <c r="U60" s="200">
        <v>29586500</v>
      </c>
      <c r="V60" s="206">
        <v>40086</v>
      </c>
      <c r="W60" s="206">
        <v>40259</v>
      </c>
      <c r="X60" s="200">
        <f t="shared" si="7"/>
        <v>173</v>
      </c>
      <c r="Y60" s="200">
        <f>+Table30[[#This Row],[Column4]]*Table30[[#This Row],[Column1]]</f>
        <v>5118464500</v>
      </c>
      <c r="Z60"/>
    </row>
    <row r="61" spans="1:26" ht="15">
      <c r="A61" s="83"/>
      <c r="B61" s="97"/>
      <c r="C61" s="97"/>
      <c r="D61" s="97"/>
      <c r="E61" s="97"/>
      <c r="F61" s="97"/>
      <c r="G61" s="97"/>
      <c r="H61" s="69"/>
      <c r="I61" s="69"/>
      <c r="U61" s="200">
        <v>11676938.689999999</v>
      </c>
      <c r="V61" s="206">
        <v>40086</v>
      </c>
      <c r="W61" s="206">
        <v>40178</v>
      </c>
      <c r="X61" s="200">
        <f t="shared" si="7"/>
        <v>92</v>
      </c>
      <c r="Y61" s="200">
        <f>+Table30[[#This Row],[Column4]]*Table30[[#This Row],[Column1]]</f>
        <v>1074278359.48</v>
      </c>
      <c r="Z61"/>
    </row>
    <row r="62" spans="1:26" ht="15">
      <c r="A62" s="15"/>
      <c r="B62" s="15"/>
      <c r="C62" s="15"/>
      <c r="D62" s="15"/>
      <c r="E62" s="15"/>
      <c r="F62" s="15"/>
      <c r="G62" s="15"/>
      <c r="H62" s="15"/>
      <c r="I62" s="15"/>
      <c r="U62" s="200">
        <v>250000000</v>
      </c>
      <c r="V62" s="206">
        <v>40086</v>
      </c>
      <c r="W62" s="206">
        <v>40184</v>
      </c>
      <c r="X62" s="200">
        <f t="shared" si="7"/>
        <v>98</v>
      </c>
      <c r="Y62" s="200">
        <f>+Table30[[#This Row],[Column4]]*Table30[[#This Row],[Column1]]</f>
        <v>24500000000</v>
      </c>
      <c r="Z62"/>
    </row>
    <row r="63" spans="1:26" ht="15.75">
      <c r="A63" s="507"/>
      <c r="B63" s="508">
        <f>+A21</f>
        <v>39721</v>
      </c>
      <c r="C63" s="508">
        <f>+A31</f>
        <v>40086</v>
      </c>
      <c r="D63" s="508" t="s">
        <v>116</v>
      </c>
      <c r="E63" s="508">
        <f>+E5</f>
        <v>40451</v>
      </c>
      <c r="F63" s="508" t="s">
        <v>116</v>
      </c>
      <c r="G63" s="508">
        <f>+G5</f>
        <v>40816</v>
      </c>
      <c r="H63" s="509" t="s">
        <v>116</v>
      </c>
      <c r="I63" s="74"/>
      <c r="U63" s="200">
        <f>SUM(U48:U62)</f>
        <v>1615499324.8399999</v>
      </c>
      <c r="V63" s="205"/>
      <c r="W63" s="200"/>
      <c r="X63" s="200"/>
      <c r="Y63" s="200">
        <f>SUM(Y48:Y62)</f>
        <v>109496804083.78999</v>
      </c>
      <c r="Z63" s="213">
        <f>+Y63/U63</f>
        <v>67.778922838382883</v>
      </c>
    </row>
    <row r="64" spans="1:26" ht="15.75">
      <c r="A64" s="510" t="s">
        <v>342</v>
      </c>
      <c r="B64" s="511">
        <f>+'1.Estado Situación'!B15-'1.Estado Situación'!B14</f>
        <v>3720023322.2800002</v>
      </c>
      <c r="C64" s="511">
        <f>+'1.Estado Situación'!C15-'1.Estado Situación'!C14</f>
        <v>3202203798.6933336</v>
      </c>
      <c r="D64" s="512">
        <f>+C64/B64-1</f>
        <v>-0.13919792397142694</v>
      </c>
      <c r="E64" s="511">
        <f>+'1.Estado Situación'!D15-'1.Estado Situación'!D14</f>
        <v>3036264262.8533335</v>
      </c>
      <c r="F64" s="512">
        <f>+E64/C64-1</f>
        <v>-5.1820416897797705E-2</v>
      </c>
      <c r="G64" s="511">
        <f>+'1.Estado Situación'!E15-'1.Estado Situación'!E14</f>
        <v>2199092856.9866667</v>
      </c>
      <c r="H64" s="512">
        <f>+G64/E64-1</f>
        <v>-0.27572415751451551</v>
      </c>
      <c r="U64" s="200"/>
      <c r="V64" s="200"/>
      <c r="W64" s="200"/>
      <c r="X64" s="200"/>
      <c r="Y64" s="200"/>
      <c r="Z64"/>
    </row>
    <row r="65" spans="1:26" ht="16.5" thickBot="1">
      <c r="A65" s="513" t="s">
        <v>83</v>
      </c>
      <c r="B65" s="514">
        <f>+B29</f>
        <v>3506696654.4466662</v>
      </c>
      <c r="C65" s="514">
        <f>+B39</f>
        <v>3146315423.9666662</v>
      </c>
      <c r="D65" s="515">
        <f>+C65/B65-1</f>
        <v>-0.1027694340264701</v>
      </c>
      <c r="E65" s="514">
        <f>+B49</f>
        <v>2479307923.5066667</v>
      </c>
      <c r="F65" s="515">
        <f>+E65/C65-1</f>
        <v>-0.21199638643320784</v>
      </c>
      <c r="G65" s="514">
        <f>+B59</f>
        <v>2258549910.8000002</v>
      </c>
      <c r="H65" s="515">
        <f>+G65/E65-1</f>
        <v>-8.9040175531900911E-2</v>
      </c>
      <c r="U65" s="200"/>
      <c r="V65" s="200"/>
      <c r="W65" s="200"/>
      <c r="X65" s="200"/>
      <c r="Y65" s="200"/>
      <c r="Z65"/>
    </row>
    <row r="66" spans="1:26" s="83" customFormat="1" ht="16.5" thickTop="1">
      <c r="A66" s="516" t="s">
        <v>101</v>
      </c>
      <c r="B66" s="517">
        <f>+B64-B65</f>
        <v>213326667.83333397</v>
      </c>
      <c r="C66" s="517">
        <f>+C64-C65</f>
        <v>55888374.726667404</v>
      </c>
      <c r="D66" s="518">
        <f>+C66/B66-1</f>
        <v>-0.73801505787203592</v>
      </c>
      <c r="E66" s="517">
        <f>+E64-E65</f>
        <v>556956339.34666681</v>
      </c>
      <c r="F66" s="518">
        <f>+E66/C66-1</f>
        <v>8.9655132587155446</v>
      </c>
      <c r="G66" s="517">
        <f>+G64-G65</f>
        <v>-59457053.813333511</v>
      </c>
      <c r="H66" s="518">
        <f>+G66/E66-1</f>
        <v>-1.106753527364603</v>
      </c>
      <c r="I66" s="70"/>
      <c r="U66" s="212">
        <f>+J42</f>
        <v>40451</v>
      </c>
      <c r="V66" s="200"/>
      <c r="W66" s="200"/>
      <c r="X66" s="200"/>
      <c r="Y66" s="200"/>
      <c r="Z66"/>
    </row>
    <row r="67" spans="1:26" ht="15">
      <c r="A67" s="510"/>
      <c r="B67" s="511"/>
      <c r="C67" s="511"/>
      <c r="D67" s="511"/>
      <c r="E67" s="511"/>
      <c r="F67" s="511"/>
      <c r="G67" s="511"/>
      <c r="H67" s="512"/>
      <c r="U67" s="210" t="s">
        <v>130</v>
      </c>
      <c r="V67" s="210" t="s">
        <v>198</v>
      </c>
      <c r="W67" s="210" t="s">
        <v>197</v>
      </c>
      <c r="X67" s="210" t="s">
        <v>129</v>
      </c>
      <c r="Y67" s="210" t="s">
        <v>128</v>
      </c>
      <c r="Z67" s="211" t="s">
        <v>131</v>
      </c>
    </row>
    <row r="68" spans="1:26" ht="15.75">
      <c r="A68" s="510" t="s">
        <v>102</v>
      </c>
      <c r="B68" s="519">
        <f>+B17</f>
        <v>72.932526345526227</v>
      </c>
      <c r="C68" s="519">
        <f>+C17</f>
        <v>75.70181398039685</v>
      </c>
      <c r="D68" s="512">
        <f>+C68/B68-1</f>
        <v>3.7970543098298837E-2</v>
      </c>
      <c r="E68" s="519">
        <f>+E17</f>
        <v>91.553265493373786</v>
      </c>
      <c r="F68" s="512">
        <f>+E68/C68-1</f>
        <v>0.20939328504177857</v>
      </c>
      <c r="G68" s="519">
        <f>+G17</f>
        <v>75.059927655325737</v>
      </c>
      <c r="H68" s="512">
        <f>+G68/E68-1</f>
        <v>-0.18015018633324187</v>
      </c>
      <c r="U68" s="200">
        <v>76941000</v>
      </c>
      <c r="V68" s="204">
        <v>40451</v>
      </c>
      <c r="W68" s="204">
        <v>40466</v>
      </c>
      <c r="X68" s="200">
        <f>+Table31[[#This Row],[Column3]]-Table31[[#This Row],[Column2]]</f>
        <v>15</v>
      </c>
      <c r="Y68" s="200">
        <f>+Table31[[#This Row],[Column4]]*Table31[[#This Row],[Column1]]</f>
        <v>1154115000</v>
      </c>
      <c r="Z68"/>
    </row>
    <row r="69" spans="1:26" ht="16.5" thickBot="1">
      <c r="A69" s="513" t="s">
        <v>103</v>
      </c>
      <c r="B69" s="514">
        <f>+C29</f>
        <v>69.507455526159987</v>
      </c>
      <c r="C69" s="514">
        <f>+C39</f>
        <v>49.205023773520921</v>
      </c>
      <c r="D69" s="515">
        <f>+C69/B69-1</f>
        <v>-0.2920899865914095</v>
      </c>
      <c r="E69" s="514">
        <f>+C49</f>
        <v>58.214056069991983</v>
      </c>
      <c r="F69" s="515">
        <f>+E69/C69-1</f>
        <v>0.18309171717785366</v>
      </c>
      <c r="G69" s="514">
        <f>+C59</f>
        <v>75.448088039505024</v>
      </c>
      <c r="H69" s="515">
        <f>+G69/E69-1</f>
        <v>0.29604588879345917</v>
      </c>
      <c r="U69" s="200">
        <v>205176000</v>
      </c>
      <c r="V69" s="204">
        <v>40451</v>
      </c>
      <c r="W69" s="204">
        <v>40506</v>
      </c>
      <c r="X69" s="200">
        <f>+Table31[[#This Row],[Column3]]-Table31[[#This Row],[Column2]]</f>
        <v>55</v>
      </c>
      <c r="Y69" s="200">
        <f>+Table31[[#This Row],[Column4]]*Table31[[#This Row],[Column1]]</f>
        <v>11284680000</v>
      </c>
      <c r="Z69"/>
    </row>
    <row r="70" spans="1:26" ht="16.5" thickTop="1">
      <c r="A70" s="516" t="s">
        <v>104</v>
      </c>
      <c r="B70" s="517">
        <f>+B68-B69</f>
        <v>3.4250708193662405</v>
      </c>
      <c r="C70" s="517">
        <f>+C68-C69</f>
        <v>26.496790206875929</v>
      </c>
      <c r="D70" s="518">
        <f>+C70/B70-1</f>
        <v>6.7361291501057998</v>
      </c>
      <c r="E70" s="517">
        <f>+E68-E69</f>
        <v>33.339209423381803</v>
      </c>
      <c r="F70" s="518">
        <f>+E70/C70-1</f>
        <v>0.25823577735578951</v>
      </c>
      <c r="G70" s="517">
        <f>+G68-G69</f>
        <v>-0.38816038417928667</v>
      </c>
      <c r="H70" s="518">
        <f>+G70/E70-1</f>
        <v>-1.0116427591083506</v>
      </c>
      <c r="U70" s="200">
        <v>76941000</v>
      </c>
      <c r="V70" s="204">
        <v>40451</v>
      </c>
      <c r="W70" s="204">
        <v>40532</v>
      </c>
      <c r="X70" s="200">
        <f>+Table31[[#This Row],[Column3]]-Table31[[#This Row],[Column2]]</f>
        <v>81</v>
      </c>
      <c r="Y70" s="200">
        <f>+Table31[[#This Row],[Column4]]*Table31[[#This Row],[Column1]]</f>
        <v>6232221000</v>
      </c>
      <c r="Z70"/>
    </row>
    <row r="71" spans="1:26" ht="15.75">
      <c r="A71" s="510"/>
      <c r="B71" s="520"/>
      <c r="C71" s="520"/>
      <c r="D71" s="520"/>
      <c r="E71" s="520"/>
      <c r="F71" s="520"/>
      <c r="G71" s="520"/>
      <c r="H71" s="521"/>
      <c r="I71" s="74"/>
      <c r="U71" s="200">
        <v>76941000</v>
      </c>
      <c r="V71" s="204">
        <v>40451</v>
      </c>
      <c r="W71" s="204">
        <v>40623</v>
      </c>
      <c r="X71" s="200">
        <f>+Table31[[#This Row],[Column3]]-Table31[[#This Row],[Column2]]</f>
        <v>172</v>
      </c>
      <c r="Y71" s="200">
        <f>+Table31[[#This Row],[Column4]]*Table31[[#This Row],[Column1]]</f>
        <v>13233852000</v>
      </c>
      <c r="Z71"/>
    </row>
    <row r="72" spans="1:26" ht="15.75">
      <c r="A72" s="516" t="s">
        <v>192</v>
      </c>
      <c r="B72" s="522">
        <f>+B64/B68</f>
        <v>51006368.607827485</v>
      </c>
      <c r="C72" s="522">
        <f>+C64/C68</f>
        <v>42300225.454604715</v>
      </c>
      <c r="D72" s="518">
        <f>+C72/B72-1</f>
        <v>-0.17068737475042906</v>
      </c>
      <c r="E72" s="522">
        <f>+E64/E68</f>
        <v>33163910.063623942</v>
      </c>
      <c r="F72" s="518">
        <f>+E72/C72-1</f>
        <v>-0.21598739233164566</v>
      </c>
      <c r="G72" s="522">
        <f>+G64/G68</f>
        <v>29297828.091240294</v>
      </c>
      <c r="H72" s="518">
        <f>+G72/E72-1</f>
        <v>-0.11657497457225907</v>
      </c>
      <c r="J72" s="75"/>
      <c r="U72" s="200">
        <v>17073418.210000001</v>
      </c>
      <c r="V72" s="204">
        <v>40451</v>
      </c>
      <c r="W72" s="204">
        <v>40470</v>
      </c>
      <c r="X72" s="200">
        <f>+Table31[[#This Row],[Column3]]-Table31[[#This Row],[Column2]]</f>
        <v>19</v>
      </c>
      <c r="Y72" s="200">
        <f>+Table31[[#This Row],[Column4]]*Table31[[#This Row],[Column1]]</f>
        <v>324394945.99000001</v>
      </c>
      <c r="Z72"/>
    </row>
    <row r="73" spans="1:26" ht="16.5" thickBot="1">
      <c r="A73" s="523" t="s">
        <v>191</v>
      </c>
      <c r="B73" s="524">
        <f>+B65/B69</f>
        <v>50450654.939121999</v>
      </c>
      <c r="C73" s="524">
        <f>+C65/C69</f>
        <v>63942971.320335329</v>
      </c>
      <c r="D73" s="525">
        <f>+C73/B73-1</f>
        <v>0.26743590142673646</v>
      </c>
      <c r="E73" s="524">
        <f>+E65/E69</f>
        <v>42589506.570814148</v>
      </c>
      <c r="F73" s="525">
        <f>+E73/C73-1</f>
        <v>-0.33394545653104946</v>
      </c>
      <c r="G73" s="524">
        <f>+G65/G69</f>
        <v>29935151.035469729</v>
      </c>
      <c r="H73" s="525">
        <f>+G73/E73-1</f>
        <v>-0.29712378832809083</v>
      </c>
      <c r="J73" s="75"/>
      <c r="U73" s="200">
        <v>34636191.43</v>
      </c>
      <c r="V73" s="204">
        <v>40451</v>
      </c>
      <c r="W73" s="204">
        <v>40504</v>
      </c>
      <c r="X73" s="200">
        <f>+Table31[[#This Row],[Column3]]-Table31[[#This Row],[Column2]]</f>
        <v>53</v>
      </c>
      <c r="Y73" s="200">
        <f>+Table31[[#This Row],[Column4]]*Table31[[#This Row],[Column1]]</f>
        <v>1835718145.79</v>
      </c>
      <c r="Z73"/>
    </row>
    <row r="74" spans="1:26" ht="16.5" thickTop="1">
      <c r="A74" s="516" t="s">
        <v>105</v>
      </c>
      <c r="B74" s="526">
        <f>+B72-B73</f>
        <v>555713.66870548576</v>
      </c>
      <c r="C74" s="526">
        <f>+C72-C73</f>
        <v>-21642745.865730613</v>
      </c>
      <c r="D74" s="512"/>
      <c r="E74" s="526">
        <f>+E72-E73</f>
        <v>-9425596.5071902052</v>
      </c>
      <c r="F74" s="512"/>
      <c r="G74" s="522">
        <f>+G72-G73</f>
        <v>-637322.94422943518</v>
      </c>
      <c r="H74" s="512">
        <f>+G74/E74-1</f>
        <v>-0.93238380788491626</v>
      </c>
      <c r="U74" s="200">
        <v>49307839.899999999</v>
      </c>
      <c r="V74" s="204">
        <v>40451</v>
      </c>
      <c r="W74" s="204">
        <v>40529</v>
      </c>
      <c r="X74" s="200">
        <f>+Table31[[#This Row],[Column3]]-Table31[[#This Row],[Column2]]</f>
        <v>78</v>
      </c>
      <c r="Y74" s="200">
        <f>+Table31[[#This Row],[Column4]]*Table31[[#This Row],[Column1]]</f>
        <v>3846011512.1999998</v>
      </c>
      <c r="Z74"/>
    </row>
    <row r="75" spans="1:26" ht="15.75">
      <c r="A75" s="510"/>
      <c r="B75" s="512"/>
      <c r="C75" s="511"/>
      <c r="D75" s="511"/>
      <c r="E75" s="511"/>
      <c r="F75" s="511"/>
      <c r="G75" s="511"/>
      <c r="H75" s="512"/>
      <c r="U75" s="200">
        <v>67099527.979999997</v>
      </c>
      <c r="V75" s="204">
        <v>40451</v>
      </c>
      <c r="W75" s="204">
        <v>40561</v>
      </c>
      <c r="X75" s="200">
        <f>+Table31[[#This Row],[Column3]]-Table31[[#This Row],[Column2]]</f>
        <v>110</v>
      </c>
      <c r="Y75" s="200">
        <f>+Table31[[#This Row],[Column4]]*Table31[[#This Row],[Column1]]</f>
        <v>7380948077.7999992</v>
      </c>
      <c r="Z75"/>
    </row>
    <row r="76" spans="1:26" ht="15.75">
      <c r="A76" s="104" t="s">
        <v>106</v>
      </c>
      <c r="B76" s="105">
        <f>+B74/B72</f>
        <v>1.0894985937505174E-2</v>
      </c>
      <c r="C76" s="105">
        <f>+C74/C72</f>
        <v>-0.51164611141273786</v>
      </c>
      <c r="D76" s="518"/>
      <c r="E76" s="105">
        <f>+E74/E72</f>
        <v>-0.28421246135053096</v>
      </c>
      <c r="F76" s="518"/>
      <c r="G76" s="105">
        <f>+G74/G72</f>
        <v>-2.1753248815736866E-2</v>
      </c>
      <c r="H76" s="512"/>
      <c r="U76" s="200">
        <v>83662309.290000007</v>
      </c>
      <c r="V76" s="204">
        <v>40451</v>
      </c>
      <c r="W76" s="204">
        <v>40593</v>
      </c>
      <c r="X76" s="200">
        <f>+Table31[[#This Row],[Column3]]-Table31[[#This Row],[Column2]]</f>
        <v>142</v>
      </c>
      <c r="Y76" s="200">
        <f>+Table31[[#This Row],[Column4]]*Table31[[#This Row],[Column1]]</f>
        <v>11880047919.18</v>
      </c>
      <c r="Z76"/>
    </row>
    <row r="77" spans="1:26" ht="15">
      <c r="B77" s="75"/>
      <c r="C77" s="75"/>
      <c r="D77" s="75"/>
      <c r="E77" s="75"/>
      <c r="F77" s="75"/>
      <c r="G77" s="75"/>
      <c r="U77" s="200">
        <v>55653990</v>
      </c>
      <c r="V77" s="204">
        <v>40451</v>
      </c>
      <c r="W77" s="204">
        <v>40632</v>
      </c>
      <c r="X77" s="200">
        <f>+Table31[[#This Row],[Column3]]-Table31[[#This Row],[Column2]]</f>
        <v>181</v>
      </c>
      <c r="Y77" s="200">
        <f>+Table31[[#This Row],[Column4]]*Table31[[#This Row],[Column1]]</f>
        <v>10073372190</v>
      </c>
      <c r="Z77"/>
    </row>
    <row r="78" spans="1:26" ht="15">
      <c r="D78" s="97"/>
      <c r="E78" s="97"/>
      <c r="F78" s="97"/>
      <c r="G78" s="97"/>
      <c r="H78" s="80"/>
      <c r="I78" s="80"/>
      <c r="U78" s="200">
        <v>125000000</v>
      </c>
      <c r="V78" s="204">
        <v>40451</v>
      </c>
      <c r="W78" s="204">
        <v>40494</v>
      </c>
      <c r="X78" s="200">
        <f>+Table31[[#This Row],[Column3]]-Table31[[#This Row],[Column2]]</f>
        <v>43</v>
      </c>
      <c r="Y78" s="200">
        <f>+Table31[[#This Row],[Column4]]*Table31[[#This Row],[Column1]]</f>
        <v>5375000000</v>
      </c>
      <c r="Z78"/>
    </row>
    <row r="79" spans="1:26" ht="15">
      <c r="D79" s="97"/>
      <c r="E79" s="97"/>
      <c r="F79" s="97"/>
      <c r="G79" s="97"/>
      <c r="H79" s="80"/>
      <c r="I79" s="80"/>
      <c r="U79" s="200">
        <v>125000000</v>
      </c>
      <c r="V79" s="204">
        <v>40451</v>
      </c>
      <c r="W79" s="204">
        <v>40499</v>
      </c>
      <c r="X79" s="200">
        <f>+Table31[[#This Row],[Column3]]-Table31[[#This Row],[Column2]]</f>
        <v>48</v>
      </c>
      <c r="Y79" s="200">
        <f>+Table31[[#This Row],[Column4]]*Table31[[#This Row],[Column1]]</f>
        <v>6000000000</v>
      </c>
      <c r="Z79"/>
    </row>
    <row r="80" spans="1:26" ht="15">
      <c r="D80" s="97"/>
      <c r="E80" s="97"/>
      <c r="F80" s="97"/>
      <c r="G80" s="97"/>
      <c r="H80" s="80"/>
      <c r="I80" s="80"/>
      <c r="U80" s="200">
        <f>SUM(U68:U79)</f>
        <v>993432276.80999994</v>
      </c>
      <c r="V80" s="203"/>
      <c r="W80" s="208"/>
      <c r="X80" s="200"/>
      <c r="Y80" s="200">
        <f>SUM(Y68:Y79)</f>
        <v>78620360790.959991</v>
      </c>
      <c r="Z80" s="213">
        <f>+Y80/U80</f>
        <v>79.140131266337562</v>
      </c>
    </row>
    <row r="81" spans="1:26" ht="15">
      <c r="A81" s="83" t="s">
        <v>117</v>
      </c>
      <c r="B81" s="75"/>
      <c r="C81" s="75"/>
      <c r="D81" s="75"/>
      <c r="E81" s="75"/>
      <c r="F81" s="75"/>
      <c r="G81" s="75"/>
      <c r="U81" s="200"/>
      <c r="V81" s="200"/>
      <c r="W81" s="209"/>
      <c r="X81" s="200"/>
      <c r="Y81" s="200"/>
      <c r="Z81"/>
    </row>
    <row r="82" spans="1:26" ht="15">
      <c r="A82" s="106" t="s">
        <v>107</v>
      </c>
      <c r="B82" s="536" t="s">
        <v>108</v>
      </c>
      <c r="C82" s="536"/>
      <c r="D82" s="75"/>
      <c r="E82" s="75"/>
      <c r="F82" s="75"/>
      <c r="G82" s="75"/>
      <c r="U82" s="200"/>
      <c r="V82" s="200"/>
      <c r="W82" s="200"/>
      <c r="X82" s="200"/>
      <c r="Y82" s="200"/>
      <c r="Z82"/>
    </row>
    <row r="83" spans="1:26" ht="15">
      <c r="A83" s="107" t="s">
        <v>109</v>
      </c>
      <c r="B83" s="108" t="s">
        <v>110</v>
      </c>
      <c r="C83" s="108"/>
      <c r="D83" s="75"/>
      <c r="E83" s="75"/>
      <c r="F83" s="75"/>
      <c r="G83" s="75"/>
      <c r="U83" s="212">
        <f>+J52</f>
        <v>40816</v>
      </c>
      <c r="V83" s="200"/>
      <c r="W83" s="200"/>
      <c r="X83" s="200"/>
      <c r="Y83" s="200"/>
      <c r="Z83"/>
    </row>
    <row r="84" spans="1:26">
      <c r="A84" s="109" t="s">
        <v>111</v>
      </c>
      <c r="B84" s="110" t="s">
        <v>219</v>
      </c>
      <c r="C84" s="110"/>
      <c r="D84" s="75"/>
      <c r="E84" s="75"/>
      <c r="F84" s="75"/>
      <c r="G84" s="75"/>
      <c r="U84" s="210" t="s">
        <v>130</v>
      </c>
      <c r="V84" s="210" t="s">
        <v>198</v>
      </c>
      <c r="W84" s="210" t="s">
        <v>197</v>
      </c>
      <c r="X84" s="210" t="s">
        <v>129</v>
      </c>
      <c r="Y84" s="210" t="s">
        <v>128</v>
      </c>
      <c r="Z84" s="211" t="s">
        <v>131</v>
      </c>
    </row>
    <row r="85" spans="1:26" ht="15">
      <c r="B85" s="75"/>
      <c r="C85" s="75"/>
      <c r="D85" s="75"/>
      <c r="E85" s="75"/>
      <c r="F85" s="75"/>
      <c r="G85" s="75"/>
      <c r="U85" s="200">
        <v>11799991.050000001</v>
      </c>
      <c r="V85" s="204">
        <v>40816</v>
      </c>
      <c r="W85" s="204">
        <v>40836</v>
      </c>
      <c r="X85" s="200">
        <f t="shared" ref="X85:X92" si="9">+W85-V85</f>
        <v>20</v>
      </c>
      <c r="Y85" s="200">
        <f>+Table37[[#This Row],[Column4]]*Table37[[#This Row],[Column1]]</f>
        <v>235999821</v>
      </c>
      <c r="Z85"/>
    </row>
    <row r="86" spans="1:26" ht="15">
      <c r="B86" s="75"/>
      <c r="C86" s="75"/>
      <c r="D86" s="75"/>
      <c r="E86" s="75"/>
      <c r="F86" s="75"/>
      <c r="G86" s="75"/>
      <c r="U86" s="200">
        <v>26396903.52</v>
      </c>
      <c r="V86" s="204">
        <v>40816</v>
      </c>
      <c r="W86" s="204">
        <v>40863</v>
      </c>
      <c r="X86" s="200">
        <f t="shared" si="9"/>
        <v>47</v>
      </c>
      <c r="Y86" s="200">
        <f>+Table37[[#This Row],[Column4]]*Table37[[#This Row],[Column1]]</f>
        <v>1240654465.4400001</v>
      </c>
      <c r="Z86"/>
    </row>
    <row r="87" spans="1:26" ht="15">
      <c r="B87" s="75"/>
      <c r="C87" s="75"/>
      <c r="D87" s="75"/>
      <c r="E87" s="75"/>
      <c r="F87" s="75"/>
      <c r="G87" s="75"/>
      <c r="U87" s="200">
        <v>35420874.57</v>
      </c>
      <c r="V87" s="204">
        <v>40816</v>
      </c>
      <c r="W87" s="204">
        <v>40899</v>
      </c>
      <c r="X87" s="200">
        <f t="shared" si="9"/>
        <v>83</v>
      </c>
      <c r="Y87" s="200">
        <f>+Table37[[#This Row],[Column4]]*Table37[[#This Row],[Column1]]</f>
        <v>2939932589.3099999</v>
      </c>
      <c r="Z87"/>
    </row>
    <row r="88" spans="1:26" ht="15">
      <c r="B88" s="75"/>
      <c r="C88" s="75"/>
      <c r="D88" s="75"/>
      <c r="E88" s="75"/>
      <c r="F88" s="75"/>
      <c r="G88" s="75"/>
      <c r="U88" s="200">
        <v>48822067.829999998</v>
      </c>
      <c r="V88" s="204">
        <v>40816</v>
      </c>
      <c r="W88" s="204">
        <v>40934</v>
      </c>
      <c r="X88" s="200">
        <f t="shared" si="9"/>
        <v>118</v>
      </c>
      <c r="Y88" s="200">
        <f>+Table37[[#This Row],[Column4]]*Table37[[#This Row],[Column1]]</f>
        <v>5761004003.9399996</v>
      </c>
      <c r="Z88"/>
    </row>
    <row r="89" spans="1:26" ht="15">
      <c r="B89" s="75"/>
      <c r="C89" s="75"/>
      <c r="D89" s="75"/>
      <c r="E89" s="75"/>
      <c r="F89" s="75"/>
      <c r="G89" s="75"/>
      <c r="U89" s="200">
        <v>60851994.799999997</v>
      </c>
      <c r="V89" s="204">
        <v>40816</v>
      </c>
      <c r="W89" s="204">
        <v>40962</v>
      </c>
      <c r="X89" s="200">
        <f t="shared" si="9"/>
        <v>146</v>
      </c>
      <c r="Y89" s="200">
        <f>+Table37[[#This Row],[Column4]]*Table37[[#This Row],[Column1]]</f>
        <v>8884391240.7999992</v>
      </c>
      <c r="Z89"/>
    </row>
    <row r="90" spans="1:26" ht="15">
      <c r="B90" s="75"/>
      <c r="C90" s="75"/>
      <c r="D90" s="75"/>
      <c r="E90" s="75"/>
      <c r="F90" s="75"/>
      <c r="G90" s="75"/>
      <c r="H90" s="69"/>
      <c r="I90" s="69"/>
      <c r="U90" s="200">
        <v>67583100</v>
      </c>
      <c r="V90" s="204">
        <v>40816</v>
      </c>
      <c r="W90" s="204">
        <v>40984</v>
      </c>
      <c r="X90" s="200">
        <f t="shared" si="9"/>
        <v>168</v>
      </c>
      <c r="Y90" s="200">
        <f>+Table37[[#This Row],[Column4]]*Table37[[#This Row],[Column1]]</f>
        <v>11353960800</v>
      </c>
      <c r="Z90"/>
    </row>
    <row r="91" spans="1:26" ht="15">
      <c r="B91" s="75"/>
      <c r="C91" s="75"/>
      <c r="D91" s="75"/>
      <c r="E91" s="75"/>
      <c r="F91" s="75"/>
      <c r="G91" s="75"/>
      <c r="H91" s="69"/>
      <c r="I91" s="69"/>
      <c r="U91" s="200">
        <v>36673506.530000001</v>
      </c>
      <c r="V91" s="204">
        <v>40816</v>
      </c>
      <c r="W91" s="204">
        <v>40887</v>
      </c>
      <c r="X91" s="200">
        <f t="shared" si="9"/>
        <v>71</v>
      </c>
      <c r="Y91" s="200">
        <f>+Table37[[#This Row],[Column4]]*Table37[[#This Row],[Column1]]</f>
        <v>2603818963.6300001</v>
      </c>
      <c r="Z91"/>
    </row>
    <row r="92" spans="1:26" ht="15">
      <c r="B92" s="75"/>
      <c r="C92" s="75"/>
      <c r="D92" s="75"/>
      <c r="E92" s="75"/>
      <c r="F92" s="75"/>
      <c r="G92" s="75"/>
      <c r="H92" s="69"/>
      <c r="I92" s="69"/>
      <c r="U92" s="200">
        <v>41666670</v>
      </c>
      <c r="V92" s="204">
        <v>40816</v>
      </c>
      <c r="W92" s="204">
        <v>40859</v>
      </c>
      <c r="X92" s="200">
        <f t="shared" si="9"/>
        <v>43</v>
      </c>
      <c r="Y92" s="200">
        <f>+Table37[[#This Row],[Column4]]*Table37[[#This Row],[Column1]]</f>
        <v>1791666810</v>
      </c>
      <c r="Z92"/>
    </row>
    <row r="93" spans="1:26" ht="15">
      <c r="B93" s="75"/>
      <c r="C93" s="75"/>
      <c r="D93" s="75"/>
      <c r="E93" s="75"/>
      <c r="F93" s="75"/>
      <c r="G93" s="75"/>
      <c r="H93" s="69"/>
      <c r="I93" s="69"/>
      <c r="U93" s="200">
        <f>SUM(U85:U92)</f>
        <v>329215108.29999995</v>
      </c>
      <c r="V93" s="200"/>
      <c r="W93" s="200"/>
      <c r="X93" s="200"/>
      <c r="Y93" s="200">
        <f>SUBTOTAL(109,Table37[[#All],[Column5]])</f>
        <v>34811428694.119995</v>
      </c>
      <c r="Z93" s="213">
        <f>+Y93/U93</f>
        <v>105.7406778014507</v>
      </c>
    </row>
    <row r="94" spans="1:26">
      <c r="B94" s="75"/>
      <c r="C94" s="75"/>
      <c r="D94" s="75"/>
      <c r="E94" s="75"/>
      <c r="F94" s="75"/>
      <c r="G94" s="75"/>
      <c r="H94" s="69"/>
      <c r="I94" s="69"/>
    </row>
    <row r="95" spans="1:26">
      <c r="B95" s="75"/>
      <c r="C95" s="75"/>
      <c r="D95" s="75"/>
      <c r="E95" s="75"/>
      <c r="F95" s="75"/>
      <c r="G95" s="75"/>
      <c r="H95" s="69"/>
      <c r="I95" s="69"/>
    </row>
    <row r="96" spans="1:26">
      <c r="B96" s="75"/>
      <c r="C96" s="75"/>
      <c r="D96" s="75"/>
      <c r="E96" s="75"/>
      <c r="F96" s="75"/>
      <c r="G96" s="75"/>
      <c r="H96" s="69"/>
      <c r="I96" s="69"/>
    </row>
    <row r="97" spans="2:9">
      <c r="B97" s="75"/>
      <c r="C97" s="75"/>
      <c r="D97" s="75"/>
      <c r="E97" s="75"/>
      <c r="F97" s="75"/>
      <c r="G97" s="75"/>
      <c r="H97" s="69"/>
      <c r="I97" s="69"/>
    </row>
    <row r="98" spans="2:9">
      <c r="B98" s="75"/>
      <c r="C98" s="75"/>
      <c r="D98" s="75"/>
      <c r="E98" s="75"/>
      <c r="F98" s="75"/>
      <c r="G98" s="75"/>
      <c r="H98" s="69"/>
      <c r="I98" s="69"/>
    </row>
    <row r="99" spans="2:9">
      <c r="B99" s="75"/>
      <c r="C99" s="75"/>
      <c r="D99" s="75"/>
      <c r="E99" s="75"/>
      <c r="F99" s="75"/>
      <c r="G99" s="75"/>
      <c r="H99" s="69"/>
      <c r="I99" s="69"/>
    </row>
    <row r="100" spans="2:9">
      <c r="B100" s="75"/>
      <c r="C100" s="75"/>
      <c r="D100" s="75"/>
      <c r="E100" s="75"/>
      <c r="F100" s="75"/>
      <c r="G100" s="75"/>
      <c r="H100" s="69"/>
      <c r="I100" s="69"/>
    </row>
    <row r="101" spans="2:9">
      <c r="B101" s="75"/>
      <c r="C101" s="75"/>
      <c r="D101" s="75"/>
      <c r="E101" s="75"/>
      <c r="F101" s="75"/>
      <c r="G101" s="75"/>
      <c r="H101" s="69"/>
      <c r="I101" s="69"/>
    </row>
    <row r="102" spans="2:9">
      <c r="B102" s="75"/>
      <c r="C102" s="75"/>
      <c r="D102" s="75"/>
      <c r="E102" s="75"/>
      <c r="F102" s="75"/>
      <c r="G102" s="75"/>
      <c r="H102" s="69"/>
      <c r="I102" s="69"/>
    </row>
    <row r="103" spans="2:9">
      <c r="B103" s="75"/>
      <c r="C103" s="75"/>
      <c r="D103" s="75"/>
      <c r="E103" s="75"/>
      <c r="F103" s="75"/>
      <c r="G103" s="75"/>
      <c r="H103" s="69"/>
      <c r="I103" s="69"/>
    </row>
    <row r="104" spans="2:9">
      <c r="B104" s="75"/>
      <c r="C104" s="75"/>
      <c r="D104" s="75"/>
      <c r="E104" s="75"/>
      <c r="F104" s="75"/>
      <c r="G104" s="75"/>
      <c r="H104" s="69"/>
      <c r="I104" s="69"/>
    </row>
    <row r="105" spans="2:9">
      <c r="B105" s="75"/>
      <c r="C105" s="75"/>
      <c r="D105" s="75"/>
      <c r="E105" s="75"/>
      <c r="F105" s="75"/>
      <c r="G105" s="75"/>
      <c r="H105" s="69"/>
      <c r="I105" s="69"/>
    </row>
    <row r="106" spans="2:9">
      <c r="B106" s="75"/>
      <c r="C106" s="75"/>
      <c r="D106" s="75"/>
      <c r="E106" s="75"/>
      <c r="F106" s="75"/>
      <c r="G106" s="75"/>
      <c r="H106" s="69"/>
      <c r="I106" s="69"/>
    </row>
    <row r="107" spans="2:9">
      <c r="B107" s="75"/>
      <c r="C107" s="75"/>
      <c r="D107" s="75"/>
      <c r="E107" s="75"/>
      <c r="F107" s="75"/>
      <c r="G107" s="75"/>
      <c r="H107" s="69"/>
      <c r="I107" s="69"/>
    </row>
    <row r="108" spans="2:9">
      <c r="B108" s="75"/>
      <c r="C108" s="75"/>
      <c r="D108" s="75"/>
      <c r="E108" s="75"/>
      <c r="F108" s="75"/>
      <c r="G108" s="75"/>
      <c r="H108" s="69"/>
      <c r="I108" s="69"/>
    </row>
    <row r="109" spans="2:9">
      <c r="B109" s="75"/>
      <c r="C109" s="75"/>
      <c r="D109" s="75"/>
      <c r="E109" s="75"/>
      <c r="F109" s="75"/>
      <c r="G109" s="75"/>
      <c r="H109" s="69"/>
      <c r="I109" s="69"/>
    </row>
    <row r="110" spans="2:9">
      <c r="B110" s="75"/>
      <c r="C110" s="75"/>
      <c r="D110" s="75"/>
      <c r="E110" s="75"/>
      <c r="F110" s="75"/>
      <c r="G110" s="75"/>
      <c r="H110" s="69"/>
      <c r="I110" s="69"/>
    </row>
    <row r="111" spans="2:9">
      <c r="B111" s="75"/>
      <c r="C111" s="75"/>
      <c r="D111" s="75"/>
      <c r="E111" s="75"/>
      <c r="F111" s="75"/>
      <c r="G111" s="75"/>
      <c r="H111" s="69"/>
      <c r="I111" s="69"/>
    </row>
    <row r="112" spans="2:9">
      <c r="B112" s="75"/>
      <c r="C112" s="75"/>
      <c r="D112" s="75"/>
      <c r="E112" s="75"/>
      <c r="F112" s="75"/>
      <c r="G112" s="75"/>
      <c r="H112" s="69"/>
      <c r="I112" s="69"/>
    </row>
    <row r="113" spans="2:9">
      <c r="B113" s="75"/>
      <c r="C113" s="75"/>
      <c r="D113" s="75"/>
      <c r="E113" s="75"/>
      <c r="F113" s="75"/>
      <c r="G113" s="75"/>
      <c r="H113" s="69"/>
      <c r="I113" s="69"/>
    </row>
    <row r="114" spans="2:9">
      <c r="B114" s="75"/>
      <c r="C114" s="75"/>
      <c r="D114" s="75"/>
      <c r="E114" s="75"/>
      <c r="F114" s="75"/>
      <c r="G114" s="75"/>
      <c r="H114" s="69"/>
      <c r="I114" s="69"/>
    </row>
    <row r="115" spans="2:9">
      <c r="B115" s="75"/>
      <c r="C115" s="75"/>
      <c r="D115" s="75"/>
      <c r="E115" s="75"/>
      <c r="F115" s="75"/>
      <c r="G115" s="75"/>
      <c r="H115" s="69"/>
      <c r="I115" s="69"/>
    </row>
    <row r="116" spans="2:9">
      <c r="B116" s="75"/>
      <c r="C116" s="75"/>
      <c r="D116" s="75"/>
      <c r="E116" s="75"/>
      <c r="F116" s="75"/>
      <c r="G116" s="75"/>
      <c r="H116" s="69"/>
      <c r="I116" s="69"/>
    </row>
    <row r="117" spans="2:9">
      <c r="B117" s="75"/>
      <c r="C117" s="75"/>
      <c r="D117" s="75"/>
      <c r="E117" s="75"/>
      <c r="F117" s="75"/>
      <c r="G117" s="75"/>
      <c r="H117" s="69"/>
      <c r="I117" s="69"/>
    </row>
    <row r="118" spans="2:9">
      <c r="B118" s="75"/>
      <c r="C118" s="75"/>
      <c r="D118" s="75"/>
      <c r="E118" s="75"/>
      <c r="F118" s="75"/>
      <c r="G118" s="75"/>
      <c r="H118" s="69"/>
      <c r="I118" s="69"/>
    </row>
    <row r="119" spans="2:9">
      <c r="B119" s="75"/>
      <c r="C119" s="75"/>
      <c r="D119" s="75"/>
      <c r="E119" s="75"/>
      <c r="F119" s="75"/>
      <c r="G119" s="75"/>
      <c r="H119" s="69"/>
      <c r="I119" s="69"/>
    </row>
    <row r="120" spans="2:9">
      <c r="B120" s="75"/>
      <c r="C120" s="75"/>
      <c r="D120" s="75"/>
      <c r="E120" s="75"/>
      <c r="F120" s="75"/>
      <c r="G120" s="75"/>
      <c r="H120" s="69"/>
      <c r="I120" s="69"/>
    </row>
    <row r="121" spans="2:9">
      <c r="B121" s="75"/>
      <c r="C121" s="75"/>
      <c r="D121" s="75"/>
      <c r="E121" s="75"/>
      <c r="F121" s="75"/>
      <c r="G121" s="75"/>
      <c r="H121" s="69"/>
      <c r="I121" s="69"/>
    </row>
    <row r="122" spans="2:9">
      <c r="B122" s="75"/>
      <c r="C122" s="75"/>
      <c r="D122" s="75"/>
      <c r="E122" s="75"/>
      <c r="F122" s="75"/>
      <c r="G122" s="75"/>
      <c r="H122" s="69"/>
      <c r="I122" s="69"/>
    </row>
    <row r="123" spans="2:9">
      <c r="B123" s="75"/>
      <c r="C123" s="75"/>
      <c r="D123" s="75"/>
      <c r="E123" s="75"/>
      <c r="F123" s="75"/>
      <c r="G123" s="75"/>
      <c r="H123" s="69"/>
      <c r="I123" s="69"/>
    </row>
    <row r="124" spans="2:9">
      <c r="B124" s="75"/>
      <c r="C124" s="75"/>
      <c r="D124" s="75"/>
      <c r="E124" s="75"/>
      <c r="F124" s="75"/>
      <c r="G124" s="75"/>
      <c r="H124" s="69"/>
      <c r="I124" s="69"/>
    </row>
    <row r="125" spans="2:9">
      <c r="B125" s="75"/>
      <c r="C125" s="75"/>
      <c r="D125" s="75"/>
      <c r="E125" s="75"/>
      <c r="F125" s="75"/>
      <c r="G125" s="75"/>
      <c r="H125" s="69"/>
      <c r="I125" s="69"/>
    </row>
    <row r="126" spans="2:9">
      <c r="B126" s="75"/>
      <c r="C126" s="75"/>
      <c r="D126" s="75"/>
      <c r="E126" s="75"/>
      <c r="F126" s="75"/>
      <c r="G126" s="75"/>
      <c r="H126" s="69"/>
      <c r="I126" s="69"/>
    </row>
    <row r="127" spans="2:9">
      <c r="B127" s="75"/>
      <c r="C127" s="75"/>
      <c r="D127" s="75"/>
      <c r="E127" s="75"/>
      <c r="F127" s="75"/>
      <c r="G127" s="75"/>
      <c r="H127" s="69"/>
      <c r="I127" s="69"/>
    </row>
    <row r="128" spans="2:9">
      <c r="B128" s="75"/>
      <c r="C128" s="75"/>
      <c r="D128" s="75"/>
      <c r="E128" s="75"/>
      <c r="F128" s="75"/>
      <c r="G128" s="75"/>
      <c r="H128" s="69"/>
      <c r="I128" s="69"/>
    </row>
    <row r="129" spans="2:9">
      <c r="B129" s="75"/>
      <c r="C129" s="75"/>
      <c r="D129" s="75"/>
      <c r="E129" s="75"/>
      <c r="F129" s="75"/>
      <c r="G129" s="75"/>
      <c r="H129" s="69"/>
      <c r="I129" s="69"/>
    </row>
    <row r="130" spans="2:9">
      <c r="B130" s="75"/>
      <c r="C130" s="75"/>
      <c r="D130" s="75"/>
      <c r="E130" s="75"/>
      <c r="F130" s="75"/>
      <c r="G130" s="75"/>
      <c r="H130" s="69"/>
      <c r="I130" s="69"/>
    </row>
    <row r="131" spans="2:9">
      <c r="B131" s="75"/>
      <c r="C131" s="75"/>
      <c r="D131" s="75"/>
      <c r="E131" s="75"/>
      <c r="F131" s="75"/>
      <c r="G131" s="75"/>
      <c r="H131" s="69"/>
      <c r="I131" s="69"/>
    </row>
    <row r="132" spans="2:9">
      <c r="B132" s="75"/>
      <c r="C132" s="75"/>
      <c r="D132" s="75"/>
      <c r="E132" s="75"/>
      <c r="F132" s="75"/>
      <c r="G132" s="75"/>
      <c r="H132" s="69"/>
      <c r="I132" s="69"/>
    </row>
    <row r="133" spans="2:9">
      <c r="B133" s="75"/>
      <c r="C133" s="75"/>
      <c r="D133" s="75"/>
      <c r="E133" s="75"/>
      <c r="F133" s="75"/>
      <c r="G133" s="75"/>
      <c r="H133" s="69"/>
      <c r="I133" s="69"/>
    </row>
    <row r="134" spans="2:9">
      <c r="B134" s="75"/>
      <c r="C134" s="75"/>
      <c r="D134" s="75"/>
      <c r="E134" s="75"/>
      <c r="F134" s="75"/>
      <c r="G134" s="75"/>
      <c r="H134" s="69"/>
      <c r="I134" s="69"/>
    </row>
    <row r="135" spans="2:9">
      <c r="B135" s="75"/>
      <c r="C135" s="75"/>
      <c r="D135" s="75"/>
      <c r="E135" s="75"/>
      <c r="F135" s="75"/>
      <c r="G135" s="75"/>
      <c r="H135" s="69"/>
      <c r="I135" s="69"/>
    </row>
    <row r="136" spans="2:9">
      <c r="B136" s="75"/>
      <c r="C136" s="75"/>
      <c r="D136" s="75"/>
      <c r="E136" s="75"/>
      <c r="F136" s="75"/>
      <c r="G136" s="75"/>
      <c r="H136" s="69"/>
      <c r="I136" s="69"/>
    </row>
    <row r="137" spans="2:9">
      <c r="B137" s="75"/>
      <c r="C137" s="75"/>
      <c r="D137" s="75"/>
      <c r="E137" s="75"/>
      <c r="F137" s="75"/>
      <c r="G137" s="75"/>
      <c r="H137" s="69"/>
      <c r="I137" s="69"/>
    </row>
    <row r="138" spans="2:9">
      <c r="B138" s="75"/>
      <c r="C138" s="75"/>
      <c r="D138" s="75"/>
      <c r="E138" s="75"/>
      <c r="F138" s="75"/>
      <c r="G138" s="75"/>
      <c r="H138" s="69"/>
      <c r="I138" s="69"/>
    </row>
    <row r="139" spans="2:9">
      <c r="B139" s="75"/>
      <c r="C139" s="75"/>
      <c r="D139" s="75"/>
      <c r="E139" s="75"/>
      <c r="F139" s="75"/>
      <c r="G139" s="75"/>
      <c r="H139" s="69"/>
      <c r="I139" s="69"/>
    </row>
    <row r="140" spans="2:9">
      <c r="B140" s="75"/>
      <c r="C140" s="75"/>
      <c r="D140" s="75"/>
      <c r="E140" s="75"/>
      <c r="F140" s="75"/>
      <c r="G140" s="75"/>
      <c r="H140" s="69"/>
      <c r="I140" s="69"/>
    </row>
    <row r="141" spans="2:9">
      <c r="B141" s="75"/>
      <c r="C141" s="75"/>
      <c r="D141" s="75"/>
      <c r="E141" s="75"/>
      <c r="F141" s="75"/>
      <c r="G141" s="75"/>
      <c r="H141" s="69"/>
      <c r="I141" s="69"/>
    </row>
    <row r="142" spans="2:9">
      <c r="B142" s="75"/>
      <c r="C142" s="75"/>
      <c r="D142" s="75"/>
      <c r="E142" s="75"/>
      <c r="F142" s="75"/>
      <c r="G142" s="75"/>
      <c r="H142" s="69"/>
      <c r="I142" s="69"/>
    </row>
    <row r="143" spans="2:9">
      <c r="B143" s="75"/>
      <c r="C143" s="75"/>
      <c r="D143" s="75"/>
      <c r="E143" s="75"/>
      <c r="F143" s="75"/>
      <c r="G143" s="75"/>
      <c r="H143" s="69"/>
      <c r="I143" s="69"/>
    </row>
    <row r="144" spans="2:9">
      <c r="B144" s="75"/>
      <c r="C144" s="75"/>
      <c r="D144" s="75"/>
      <c r="E144" s="75"/>
      <c r="F144" s="75"/>
      <c r="G144" s="75"/>
      <c r="H144" s="69"/>
      <c r="I144" s="69"/>
    </row>
    <row r="145" spans="2:9">
      <c r="B145" s="75"/>
      <c r="C145" s="75"/>
      <c r="D145" s="75"/>
      <c r="E145" s="75"/>
      <c r="F145" s="75"/>
      <c r="G145" s="75"/>
      <c r="H145" s="69"/>
      <c r="I145" s="69"/>
    </row>
    <row r="146" spans="2:9">
      <c r="B146" s="75"/>
      <c r="C146" s="75"/>
      <c r="D146" s="75"/>
      <c r="E146" s="75"/>
      <c r="F146" s="75"/>
      <c r="G146" s="75"/>
      <c r="H146" s="69"/>
      <c r="I146" s="69"/>
    </row>
    <row r="147" spans="2:9">
      <c r="B147" s="75"/>
      <c r="C147" s="75"/>
      <c r="D147" s="75"/>
      <c r="E147" s="75"/>
      <c r="F147" s="75"/>
      <c r="G147" s="75"/>
      <c r="H147" s="69"/>
      <c r="I147" s="69"/>
    </row>
    <row r="148" spans="2:9">
      <c r="B148" s="75"/>
      <c r="C148" s="75"/>
      <c r="D148" s="75"/>
      <c r="E148" s="75"/>
      <c r="F148" s="75"/>
      <c r="G148" s="75"/>
      <c r="H148" s="69"/>
      <c r="I148" s="69"/>
    </row>
    <row r="149" spans="2:9">
      <c r="B149" s="75"/>
      <c r="C149" s="75"/>
      <c r="D149" s="75"/>
      <c r="E149" s="75"/>
      <c r="F149" s="75"/>
      <c r="G149" s="75"/>
      <c r="H149" s="69"/>
      <c r="I149" s="69"/>
    </row>
    <row r="150" spans="2:9">
      <c r="B150" s="75"/>
      <c r="C150" s="75"/>
      <c r="D150" s="75"/>
      <c r="E150" s="75"/>
      <c r="F150" s="75"/>
      <c r="G150" s="75"/>
      <c r="H150" s="69"/>
      <c r="I150" s="69"/>
    </row>
    <row r="151" spans="2:9">
      <c r="B151" s="75"/>
      <c r="C151" s="75"/>
      <c r="D151" s="75"/>
      <c r="E151" s="75"/>
      <c r="F151" s="75"/>
      <c r="G151" s="75"/>
      <c r="H151" s="69"/>
      <c r="I151" s="69"/>
    </row>
    <row r="152" spans="2:9">
      <c r="B152" s="75"/>
      <c r="C152" s="75"/>
      <c r="D152" s="75"/>
      <c r="E152" s="75"/>
      <c r="F152" s="75"/>
      <c r="G152" s="75"/>
      <c r="H152" s="69"/>
      <c r="I152" s="69"/>
    </row>
    <row r="153" spans="2:9">
      <c r="B153" s="75"/>
      <c r="C153" s="75"/>
      <c r="D153" s="75"/>
      <c r="E153" s="75"/>
      <c r="F153" s="75"/>
      <c r="G153" s="75"/>
      <c r="H153" s="69"/>
      <c r="I153" s="69"/>
    </row>
    <row r="154" spans="2:9">
      <c r="B154" s="75"/>
      <c r="C154" s="75"/>
      <c r="D154" s="75"/>
      <c r="E154" s="75"/>
      <c r="F154" s="75"/>
      <c r="G154" s="75"/>
      <c r="H154" s="69"/>
      <c r="I154" s="69"/>
    </row>
    <row r="155" spans="2:9">
      <c r="B155" s="75"/>
      <c r="C155" s="75"/>
      <c r="D155" s="75"/>
      <c r="E155" s="75"/>
      <c r="F155" s="75"/>
      <c r="G155" s="75"/>
      <c r="H155" s="69"/>
      <c r="I155" s="69"/>
    </row>
    <row r="156" spans="2:9">
      <c r="B156" s="75"/>
      <c r="C156" s="75"/>
      <c r="D156" s="75"/>
      <c r="E156" s="75"/>
      <c r="F156" s="75"/>
      <c r="G156" s="75"/>
      <c r="H156" s="69"/>
      <c r="I156" s="69"/>
    </row>
    <row r="157" spans="2:9">
      <c r="B157" s="75"/>
      <c r="C157" s="75"/>
      <c r="D157" s="75"/>
      <c r="E157" s="75"/>
      <c r="F157" s="75"/>
      <c r="G157" s="75"/>
      <c r="H157" s="69"/>
      <c r="I157" s="69"/>
    </row>
    <row r="158" spans="2:9">
      <c r="B158" s="75"/>
      <c r="C158" s="75"/>
      <c r="D158" s="75"/>
      <c r="E158" s="75"/>
      <c r="F158" s="75"/>
      <c r="G158" s="75"/>
      <c r="H158" s="69"/>
      <c r="I158" s="69"/>
    </row>
    <row r="159" spans="2:9">
      <c r="B159" s="75"/>
      <c r="C159" s="75"/>
      <c r="D159" s="75"/>
      <c r="E159" s="75"/>
      <c r="F159" s="75"/>
      <c r="G159" s="75"/>
      <c r="H159" s="69"/>
      <c r="I159" s="69"/>
    </row>
    <row r="160" spans="2:9">
      <c r="B160" s="75"/>
      <c r="C160" s="75"/>
      <c r="D160" s="75"/>
      <c r="E160" s="75"/>
      <c r="F160" s="75"/>
      <c r="G160" s="75"/>
      <c r="H160" s="69"/>
      <c r="I160" s="69"/>
    </row>
    <row r="161" spans="2:9">
      <c r="B161" s="75"/>
      <c r="C161" s="75"/>
      <c r="D161" s="75"/>
      <c r="E161" s="75"/>
      <c r="F161" s="75"/>
      <c r="G161" s="75"/>
      <c r="H161" s="69"/>
      <c r="I161" s="69"/>
    </row>
    <row r="162" spans="2:9">
      <c r="B162" s="75"/>
      <c r="C162" s="75"/>
      <c r="D162" s="75"/>
      <c r="E162" s="75"/>
      <c r="F162" s="75"/>
      <c r="G162" s="75"/>
      <c r="H162" s="69"/>
      <c r="I162" s="69"/>
    </row>
    <row r="163" spans="2:9">
      <c r="B163" s="75"/>
      <c r="C163" s="75"/>
      <c r="D163" s="75"/>
      <c r="E163" s="75"/>
      <c r="F163" s="75"/>
      <c r="G163" s="75"/>
      <c r="H163" s="69"/>
      <c r="I163" s="69"/>
    </row>
    <row r="164" spans="2:9">
      <c r="B164" s="75"/>
      <c r="C164" s="75"/>
      <c r="D164" s="75"/>
      <c r="E164" s="75"/>
      <c r="F164" s="75"/>
      <c r="G164" s="75"/>
      <c r="H164" s="69"/>
      <c r="I164" s="69"/>
    </row>
    <row r="165" spans="2:9">
      <c r="B165" s="75"/>
      <c r="C165" s="75"/>
      <c r="D165" s="75"/>
      <c r="E165" s="75"/>
      <c r="F165" s="75"/>
      <c r="G165" s="75"/>
      <c r="H165" s="69"/>
      <c r="I165" s="69"/>
    </row>
    <row r="166" spans="2:9">
      <c r="B166" s="75"/>
      <c r="C166" s="75"/>
      <c r="D166" s="75"/>
      <c r="E166" s="75"/>
      <c r="F166" s="75"/>
      <c r="G166" s="75"/>
      <c r="H166" s="69"/>
      <c r="I166" s="69"/>
    </row>
    <row r="167" spans="2:9">
      <c r="B167" s="75"/>
      <c r="C167" s="75"/>
      <c r="D167" s="75"/>
      <c r="E167" s="75"/>
      <c r="F167" s="75"/>
      <c r="G167" s="75"/>
      <c r="H167" s="69"/>
      <c r="I167" s="69"/>
    </row>
    <row r="168" spans="2:9">
      <c r="B168" s="75"/>
      <c r="C168" s="75"/>
      <c r="D168" s="75"/>
      <c r="E168" s="75"/>
      <c r="F168" s="75"/>
      <c r="G168" s="75"/>
      <c r="H168" s="69"/>
      <c r="I168" s="69"/>
    </row>
    <row r="169" spans="2:9">
      <c r="B169" s="75"/>
      <c r="C169" s="75"/>
      <c r="D169" s="75"/>
      <c r="E169" s="75"/>
      <c r="F169" s="75"/>
      <c r="G169" s="75"/>
      <c r="H169" s="69"/>
      <c r="I169" s="69"/>
    </row>
    <row r="170" spans="2:9">
      <c r="B170" s="75"/>
      <c r="C170" s="75"/>
      <c r="D170" s="75"/>
      <c r="E170" s="75"/>
      <c r="F170" s="75"/>
      <c r="G170" s="75"/>
      <c r="H170" s="69"/>
      <c r="I170" s="69"/>
    </row>
    <row r="171" spans="2:9">
      <c r="B171" s="75"/>
      <c r="C171" s="75"/>
      <c r="D171" s="75"/>
      <c r="E171" s="75"/>
      <c r="F171" s="75"/>
      <c r="G171" s="75"/>
      <c r="H171" s="69"/>
      <c r="I171" s="69"/>
    </row>
    <row r="172" spans="2:9">
      <c r="B172" s="75"/>
      <c r="C172" s="75"/>
      <c r="D172" s="75"/>
      <c r="E172" s="75"/>
      <c r="F172" s="75"/>
      <c r="G172" s="75"/>
      <c r="H172" s="69"/>
      <c r="I172" s="69"/>
    </row>
    <row r="173" spans="2:9">
      <c r="B173" s="75"/>
      <c r="C173" s="75"/>
      <c r="D173" s="75"/>
      <c r="E173" s="75"/>
      <c r="F173" s="75"/>
      <c r="G173" s="75"/>
      <c r="H173" s="69"/>
      <c r="I173" s="69"/>
    </row>
    <row r="174" spans="2:9">
      <c r="B174" s="75"/>
      <c r="C174" s="75"/>
      <c r="D174" s="75"/>
      <c r="E174" s="75"/>
      <c r="F174" s="75"/>
      <c r="G174" s="75"/>
      <c r="H174" s="69"/>
      <c r="I174" s="69"/>
    </row>
    <row r="175" spans="2:9">
      <c r="B175" s="75"/>
      <c r="C175" s="75"/>
      <c r="D175" s="75"/>
      <c r="E175" s="75"/>
      <c r="F175" s="75"/>
      <c r="G175" s="75"/>
      <c r="H175" s="69"/>
      <c r="I175" s="69"/>
    </row>
    <row r="176" spans="2:9">
      <c r="B176" s="75"/>
      <c r="C176" s="75"/>
      <c r="D176" s="75"/>
      <c r="E176" s="75"/>
      <c r="F176" s="75"/>
      <c r="G176" s="75"/>
      <c r="H176" s="69"/>
      <c r="I176" s="69"/>
    </row>
    <row r="177" spans="2:9">
      <c r="B177" s="75"/>
      <c r="C177" s="75"/>
      <c r="D177" s="75"/>
      <c r="E177" s="75"/>
      <c r="F177" s="75"/>
      <c r="G177" s="75"/>
      <c r="H177" s="69"/>
      <c r="I177" s="69"/>
    </row>
    <row r="178" spans="2:9">
      <c r="B178" s="75"/>
      <c r="C178" s="75"/>
      <c r="D178" s="75"/>
      <c r="E178" s="75"/>
      <c r="F178" s="75"/>
      <c r="G178" s="75"/>
      <c r="H178" s="69"/>
      <c r="I178" s="69"/>
    </row>
    <row r="179" spans="2:9">
      <c r="B179" s="75"/>
      <c r="C179" s="75"/>
      <c r="D179" s="75"/>
      <c r="E179" s="75"/>
      <c r="F179" s="75"/>
      <c r="G179" s="75"/>
      <c r="H179" s="69"/>
      <c r="I179" s="69"/>
    </row>
    <row r="180" spans="2:9">
      <c r="B180" s="75"/>
      <c r="C180" s="75"/>
      <c r="D180" s="75"/>
      <c r="E180" s="75"/>
      <c r="F180" s="75"/>
      <c r="G180" s="75"/>
      <c r="H180" s="69"/>
      <c r="I180" s="69"/>
    </row>
    <row r="181" spans="2:9">
      <c r="B181" s="75"/>
      <c r="C181" s="75"/>
      <c r="D181" s="75"/>
      <c r="E181" s="75"/>
      <c r="F181" s="75"/>
      <c r="G181" s="75"/>
      <c r="H181" s="69"/>
      <c r="I181" s="69"/>
    </row>
    <row r="182" spans="2:9">
      <c r="B182" s="75"/>
      <c r="C182" s="75"/>
      <c r="D182" s="75"/>
      <c r="E182" s="75"/>
      <c r="F182" s="75"/>
      <c r="G182" s="75"/>
      <c r="H182" s="69"/>
      <c r="I182" s="69"/>
    </row>
    <row r="183" spans="2:9">
      <c r="B183" s="75"/>
      <c r="C183" s="75"/>
      <c r="D183" s="75"/>
      <c r="E183" s="75"/>
      <c r="F183" s="75"/>
      <c r="G183" s="75"/>
      <c r="H183" s="69"/>
      <c r="I183" s="69"/>
    </row>
    <row r="184" spans="2:9">
      <c r="B184" s="75"/>
      <c r="C184" s="75"/>
      <c r="D184" s="75"/>
      <c r="E184" s="75"/>
      <c r="F184" s="75"/>
      <c r="G184" s="75"/>
      <c r="H184" s="69"/>
      <c r="I184" s="69"/>
    </row>
    <row r="185" spans="2:9">
      <c r="B185" s="75"/>
      <c r="C185" s="75"/>
      <c r="D185" s="75"/>
      <c r="E185" s="75"/>
      <c r="F185" s="75"/>
      <c r="G185" s="75"/>
      <c r="H185" s="69"/>
      <c r="I185" s="69"/>
    </row>
    <row r="186" spans="2:9">
      <c r="B186" s="75"/>
      <c r="C186" s="75"/>
      <c r="D186" s="75"/>
      <c r="E186" s="75"/>
      <c r="F186" s="75"/>
      <c r="G186" s="75"/>
      <c r="H186" s="69"/>
      <c r="I186" s="69"/>
    </row>
    <row r="187" spans="2:9">
      <c r="B187" s="75"/>
      <c r="C187" s="75"/>
      <c r="D187" s="75"/>
      <c r="E187" s="75"/>
      <c r="F187" s="75"/>
      <c r="G187" s="75"/>
      <c r="H187" s="69"/>
      <c r="I187" s="69"/>
    </row>
    <row r="188" spans="2:9">
      <c r="B188" s="75"/>
      <c r="C188" s="75"/>
      <c r="D188" s="75"/>
      <c r="E188" s="75"/>
      <c r="F188" s="75"/>
      <c r="G188" s="75"/>
      <c r="H188" s="69"/>
      <c r="I188" s="69"/>
    </row>
    <row r="189" spans="2:9">
      <c r="B189" s="75"/>
      <c r="C189" s="75"/>
      <c r="D189" s="75"/>
      <c r="E189" s="75"/>
      <c r="F189" s="75"/>
      <c r="G189" s="75"/>
      <c r="H189" s="69"/>
      <c r="I189" s="69"/>
    </row>
    <row r="190" spans="2:9">
      <c r="B190" s="75"/>
      <c r="C190" s="75"/>
      <c r="D190" s="75"/>
      <c r="E190" s="75"/>
      <c r="F190" s="75"/>
      <c r="G190" s="75"/>
      <c r="H190" s="69"/>
      <c r="I190" s="69"/>
    </row>
    <row r="191" spans="2:9">
      <c r="B191" s="75"/>
      <c r="C191" s="75"/>
      <c r="D191" s="75"/>
      <c r="E191" s="75"/>
      <c r="F191" s="75"/>
      <c r="G191" s="75"/>
      <c r="H191" s="69"/>
      <c r="I191" s="69"/>
    </row>
    <row r="192" spans="2:9">
      <c r="B192" s="75"/>
      <c r="C192" s="75"/>
      <c r="D192" s="75"/>
      <c r="E192" s="75"/>
      <c r="F192" s="75"/>
      <c r="G192" s="75"/>
      <c r="H192" s="69"/>
      <c r="I192" s="69"/>
    </row>
    <row r="193" spans="2:9">
      <c r="B193" s="75"/>
      <c r="C193" s="75"/>
      <c r="D193" s="75"/>
      <c r="E193" s="75"/>
      <c r="F193" s="75"/>
      <c r="G193" s="75"/>
      <c r="H193" s="69"/>
      <c r="I193" s="69"/>
    </row>
    <row r="194" spans="2:9">
      <c r="B194" s="75"/>
      <c r="C194" s="75"/>
      <c r="D194" s="75"/>
      <c r="E194" s="75"/>
      <c r="F194" s="75"/>
      <c r="G194" s="75"/>
      <c r="H194" s="69"/>
      <c r="I194" s="69"/>
    </row>
    <row r="195" spans="2:9">
      <c r="B195" s="75"/>
      <c r="C195" s="75"/>
      <c r="D195" s="75"/>
      <c r="E195" s="75"/>
      <c r="F195" s="75"/>
      <c r="G195" s="75"/>
      <c r="H195" s="69"/>
      <c r="I195" s="69"/>
    </row>
    <row r="196" spans="2:9">
      <c r="B196" s="75"/>
      <c r="C196" s="75"/>
      <c r="D196" s="75"/>
      <c r="E196" s="75"/>
      <c r="F196" s="75"/>
      <c r="G196" s="75"/>
      <c r="H196" s="69"/>
      <c r="I196" s="69"/>
    </row>
    <row r="197" spans="2:9">
      <c r="B197" s="75"/>
      <c r="C197" s="75"/>
      <c r="D197" s="75"/>
      <c r="E197" s="75"/>
      <c r="F197" s="75"/>
      <c r="G197" s="75"/>
      <c r="H197" s="69"/>
      <c r="I197" s="69"/>
    </row>
    <row r="198" spans="2:9">
      <c r="B198" s="75"/>
      <c r="C198" s="75"/>
      <c r="D198" s="75"/>
      <c r="E198" s="75"/>
      <c r="F198" s="75"/>
      <c r="G198" s="75"/>
      <c r="H198" s="69"/>
      <c r="I198" s="69"/>
    </row>
    <row r="199" spans="2:9">
      <c r="B199" s="75"/>
      <c r="C199" s="75"/>
      <c r="D199" s="75"/>
      <c r="E199" s="75"/>
      <c r="F199" s="75"/>
      <c r="G199" s="75"/>
      <c r="H199" s="69"/>
      <c r="I199" s="69"/>
    </row>
    <row r="200" spans="2:9">
      <c r="B200" s="75"/>
      <c r="C200" s="75"/>
      <c r="D200" s="75"/>
      <c r="E200" s="75"/>
      <c r="F200" s="75"/>
      <c r="G200" s="75"/>
      <c r="H200" s="69"/>
      <c r="I200" s="69"/>
    </row>
    <row r="201" spans="2:9">
      <c r="B201" s="75"/>
      <c r="C201" s="75"/>
      <c r="D201" s="75"/>
      <c r="E201" s="75"/>
      <c r="F201" s="75"/>
      <c r="G201" s="75"/>
      <c r="H201" s="69"/>
      <c r="I201" s="69"/>
    </row>
    <row r="202" spans="2:9">
      <c r="B202" s="75"/>
      <c r="C202" s="75"/>
      <c r="D202" s="75"/>
      <c r="E202" s="75"/>
      <c r="F202" s="75"/>
      <c r="G202" s="75"/>
      <c r="H202" s="69"/>
      <c r="I202" s="69"/>
    </row>
    <row r="203" spans="2:9">
      <c r="B203" s="75"/>
      <c r="C203" s="75"/>
      <c r="D203" s="75"/>
      <c r="E203" s="75"/>
      <c r="F203" s="75"/>
      <c r="G203" s="75"/>
      <c r="H203" s="69"/>
      <c r="I203" s="69"/>
    </row>
    <row r="204" spans="2:9">
      <c r="B204" s="75"/>
      <c r="C204" s="75"/>
      <c r="D204" s="75"/>
      <c r="E204" s="75"/>
      <c r="F204" s="75"/>
      <c r="G204" s="75"/>
      <c r="H204" s="69"/>
      <c r="I204" s="69"/>
    </row>
    <row r="205" spans="2:9">
      <c r="B205" s="75"/>
      <c r="C205" s="75"/>
      <c r="D205" s="75"/>
      <c r="E205" s="75"/>
      <c r="F205" s="75"/>
      <c r="G205" s="75"/>
      <c r="H205" s="69"/>
      <c r="I205" s="69"/>
    </row>
    <row r="206" spans="2:9">
      <c r="B206" s="75"/>
      <c r="C206" s="75"/>
      <c r="D206" s="75"/>
      <c r="E206" s="75"/>
      <c r="F206" s="75"/>
      <c r="G206" s="75"/>
      <c r="H206" s="69"/>
      <c r="I206" s="69"/>
    </row>
    <row r="207" spans="2:9">
      <c r="B207" s="75"/>
      <c r="C207" s="75"/>
      <c r="D207" s="75"/>
      <c r="E207" s="75"/>
      <c r="F207" s="75"/>
      <c r="G207" s="75"/>
      <c r="H207" s="69"/>
      <c r="I207" s="69"/>
    </row>
    <row r="208" spans="2:9">
      <c r="B208" s="75"/>
      <c r="C208" s="75"/>
      <c r="D208" s="75"/>
      <c r="E208" s="75"/>
      <c r="F208" s="75"/>
      <c r="G208" s="75"/>
      <c r="H208" s="69"/>
      <c r="I208" s="69"/>
    </row>
    <row r="209" spans="2:9">
      <c r="B209" s="75"/>
      <c r="C209" s="75"/>
      <c r="D209" s="75"/>
      <c r="E209" s="75"/>
      <c r="F209" s="75"/>
      <c r="G209" s="75"/>
      <c r="H209" s="69"/>
      <c r="I209" s="69"/>
    </row>
    <row r="210" spans="2:9">
      <c r="B210" s="75"/>
      <c r="C210" s="75"/>
      <c r="D210" s="75"/>
      <c r="E210" s="75"/>
      <c r="F210" s="75"/>
      <c r="G210" s="75"/>
      <c r="H210" s="69"/>
      <c r="I210" s="69"/>
    </row>
    <row r="211" spans="2:9">
      <c r="B211" s="75"/>
      <c r="C211" s="75"/>
      <c r="D211" s="75"/>
      <c r="E211" s="75"/>
      <c r="F211" s="75"/>
      <c r="G211" s="75"/>
      <c r="H211" s="69"/>
      <c r="I211" s="69"/>
    </row>
    <row r="212" spans="2:9">
      <c r="B212" s="75"/>
      <c r="C212" s="75"/>
      <c r="D212" s="75"/>
      <c r="E212" s="75"/>
      <c r="F212" s="75"/>
      <c r="G212" s="75"/>
      <c r="H212" s="69"/>
      <c r="I212" s="69"/>
    </row>
    <row r="213" spans="2:9">
      <c r="B213" s="75"/>
      <c r="C213" s="75"/>
      <c r="D213" s="75"/>
      <c r="E213" s="75"/>
      <c r="F213" s="75"/>
      <c r="G213" s="75"/>
      <c r="H213" s="69"/>
      <c r="I213" s="69"/>
    </row>
    <row r="214" spans="2:9">
      <c r="B214" s="75"/>
      <c r="C214" s="75"/>
      <c r="D214" s="75"/>
      <c r="E214" s="75"/>
      <c r="F214" s="75"/>
      <c r="G214" s="75"/>
      <c r="H214" s="69"/>
      <c r="I214" s="69"/>
    </row>
    <row r="215" spans="2:9">
      <c r="B215" s="75"/>
      <c r="C215" s="75"/>
      <c r="D215" s="75"/>
      <c r="E215" s="75"/>
      <c r="F215" s="75"/>
      <c r="G215" s="75"/>
      <c r="H215" s="69"/>
      <c r="I215" s="69"/>
    </row>
    <row r="216" spans="2:9">
      <c r="B216" s="75"/>
      <c r="C216" s="75"/>
      <c r="D216" s="75"/>
      <c r="E216" s="75"/>
      <c r="F216" s="75"/>
      <c r="G216" s="75"/>
      <c r="H216" s="69"/>
      <c r="I216" s="69"/>
    </row>
    <row r="217" spans="2:9">
      <c r="B217" s="75"/>
      <c r="C217" s="75"/>
      <c r="D217" s="75"/>
      <c r="E217" s="75"/>
      <c r="F217" s="75"/>
      <c r="G217" s="75"/>
      <c r="H217" s="69"/>
      <c r="I217" s="69"/>
    </row>
    <row r="218" spans="2:9">
      <c r="B218" s="75"/>
      <c r="C218" s="75"/>
      <c r="D218" s="75"/>
      <c r="E218" s="75"/>
      <c r="F218" s="75"/>
      <c r="G218" s="75"/>
      <c r="H218" s="69"/>
      <c r="I218" s="69"/>
    </row>
    <row r="219" spans="2:9">
      <c r="B219" s="75"/>
      <c r="C219" s="75"/>
      <c r="D219" s="75"/>
      <c r="E219" s="75"/>
      <c r="F219" s="75"/>
      <c r="G219" s="75"/>
      <c r="H219" s="69"/>
      <c r="I219" s="69"/>
    </row>
    <row r="220" spans="2:9">
      <c r="B220" s="75"/>
      <c r="C220" s="75"/>
      <c r="D220" s="75"/>
      <c r="E220" s="75"/>
      <c r="F220" s="75"/>
      <c r="G220" s="75"/>
      <c r="H220" s="69"/>
      <c r="I220" s="69"/>
    </row>
    <row r="221" spans="2:9">
      <c r="B221" s="75"/>
      <c r="C221" s="75"/>
      <c r="D221" s="75"/>
      <c r="E221" s="75"/>
      <c r="F221" s="75"/>
      <c r="G221" s="75"/>
      <c r="H221" s="69"/>
      <c r="I221" s="69"/>
    </row>
    <row r="222" spans="2:9">
      <c r="B222" s="75"/>
      <c r="C222" s="75"/>
      <c r="D222" s="75"/>
      <c r="E222" s="75"/>
      <c r="F222" s="75"/>
      <c r="G222" s="75"/>
      <c r="H222" s="69"/>
      <c r="I222" s="69"/>
    </row>
    <row r="223" spans="2:9">
      <c r="B223" s="75"/>
      <c r="C223" s="75"/>
      <c r="D223" s="75"/>
      <c r="E223" s="75"/>
      <c r="F223" s="75"/>
      <c r="G223" s="75"/>
      <c r="H223" s="69"/>
      <c r="I223" s="69"/>
    </row>
    <row r="224" spans="2:9">
      <c r="B224" s="75"/>
      <c r="C224" s="75"/>
      <c r="D224" s="75"/>
      <c r="E224" s="75"/>
      <c r="F224" s="75"/>
      <c r="G224" s="75"/>
      <c r="H224" s="69"/>
      <c r="I224" s="69"/>
    </row>
    <row r="225" spans="2:9">
      <c r="B225" s="75"/>
      <c r="C225" s="75"/>
      <c r="D225" s="75"/>
      <c r="E225" s="75"/>
      <c r="F225" s="75"/>
      <c r="G225" s="75"/>
      <c r="H225" s="69"/>
      <c r="I225" s="69"/>
    </row>
    <row r="226" spans="2:9">
      <c r="B226" s="75"/>
      <c r="C226" s="75"/>
      <c r="D226" s="75"/>
      <c r="E226" s="75"/>
      <c r="F226" s="75"/>
      <c r="G226" s="75"/>
      <c r="H226" s="69"/>
      <c r="I226" s="69"/>
    </row>
    <row r="227" spans="2:9">
      <c r="B227" s="75"/>
      <c r="C227" s="75"/>
      <c r="D227" s="75"/>
      <c r="E227" s="75"/>
      <c r="F227" s="75"/>
      <c r="G227" s="75"/>
      <c r="H227" s="69"/>
      <c r="I227" s="69"/>
    </row>
    <row r="228" spans="2:9">
      <c r="B228" s="75"/>
      <c r="C228" s="75"/>
      <c r="D228" s="75"/>
      <c r="E228" s="75"/>
      <c r="F228" s="75"/>
      <c r="G228" s="75"/>
      <c r="H228" s="69"/>
      <c r="I228" s="69"/>
    </row>
    <row r="229" spans="2:9">
      <c r="B229" s="75"/>
      <c r="C229" s="75"/>
      <c r="D229" s="75"/>
      <c r="E229" s="75"/>
      <c r="F229" s="75"/>
      <c r="G229" s="75"/>
      <c r="H229" s="69"/>
      <c r="I229" s="69"/>
    </row>
    <row r="230" spans="2:9">
      <c r="B230" s="75"/>
      <c r="C230" s="75"/>
      <c r="D230" s="75"/>
      <c r="E230" s="75"/>
      <c r="F230" s="75"/>
      <c r="G230" s="75"/>
      <c r="H230" s="69"/>
      <c r="I230" s="69"/>
    </row>
    <row r="231" spans="2:9">
      <c r="B231" s="75"/>
      <c r="C231" s="75"/>
      <c r="D231" s="75"/>
      <c r="E231" s="75"/>
      <c r="F231" s="75"/>
      <c r="G231" s="75"/>
      <c r="H231" s="69"/>
      <c r="I231" s="69"/>
    </row>
    <row r="232" spans="2:9">
      <c r="B232" s="75"/>
      <c r="C232" s="75"/>
      <c r="D232" s="75"/>
      <c r="E232" s="75"/>
      <c r="F232" s="75"/>
      <c r="G232" s="75"/>
      <c r="H232" s="69"/>
      <c r="I232" s="69"/>
    </row>
    <row r="233" spans="2:9">
      <c r="B233" s="75"/>
      <c r="C233" s="75"/>
      <c r="D233" s="75"/>
      <c r="E233" s="75"/>
      <c r="F233" s="75"/>
      <c r="G233" s="75"/>
      <c r="H233" s="69"/>
      <c r="I233" s="69"/>
    </row>
    <row r="234" spans="2:9">
      <c r="B234" s="75"/>
      <c r="C234" s="75"/>
      <c r="D234" s="75"/>
      <c r="E234" s="75"/>
      <c r="F234" s="75"/>
      <c r="G234" s="75"/>
      <c r="H234" s="69"/>
      <c r="I234" s="69"/>
    </row>
    <row r="235" spans="2:9">
      <c r="B235" s="75"/>
      <c r="C235" s="75"/>
      <c r="D235" s="75"/>
      <c r="E235" s="75"/>
      <c r="F235" s="75"/>
      <c r="G235" s="75"/>
      <c r="H235" s="69"/>
      <c r="I235" s="69"/>
    </row>
    <row r="236" spans="2:9">
      <c r="B236" s="75"/>
      <c r="C236" s="75"/>
      <c r="D236" s="75"/>
      <c r="E236" s="75"/>
      <c r="F236" s="75"/>
      <c r="G236" s="75"/>
      <c r="H236" s="69"/>
      <c r="I236" s="69"/>
    </row>
    <row r="237" spans="2:9">
      <c r="B237" s="75"/>
      <c r="C237" s="75"/>
      <c r="D237" s="75"/>
      <c r="E237" s="75"/>
      <c r="F237" s="75"/>
      <c r="G237" s="75"/>
      <c r="H237" s="69"/>
      <c r="I237" s="69"/>
    </row>
    <row r="238" spans="2:9">
      <c r="B238" s="75"/>
      <c r="C238" s="75"/>
      <c r="D238" s="75"/>
      <c r="E238" s="75"/>
      <c r="F238" s="75"/>
      <c r="G238" s="75"/>
      <c r="H238" s="69"/>
      <c r="I238" s="69"/>
    </row>
    <row r="239" spans="2:9">
      <c r="B239" s="75"/>
      <c r="C239" s="75"/>
      <c r="D239" s="75"/>
      <c r="E239" s="75"/>
      <c r="F239" s="75"/>
      <c r="G239" s="75"/>
      <c r="H239" s="69"/>
      <c r="I239" s="69"/>
    </row>
    <row r="240" spans="2:9">
      <c r="B240" s="75"/>
      <c r="C240" s="75"/>
      <c r="D240" s="75"/>
      <c r="E240" s="75"/>
      <c r="F240" s="75"/>
      <c r="G240" s="75"/>
      <c r="H240" s="69"/>
      <c r="I240" s="69"/>
    </row>
    <row r="241" spans="2:9">
      <c r="B241" s="75"/>
      <c r="C241" s="75"/>
      <c r="D241" s="75"/>
      <c r="E241" s="75"/>
      <c r="F241" s="75"/>
      <c r="G241" s="75"/>
      <c r="H241" s="69"/>
      <c r="I241" s="69"/>
    </row>
    <row r="242" spans="2:9">
      <c r="B242" s="75"/>
      <c r="C242" s="75"/>
      <c r="D242" s="75"/>
      <c r="E242" s="75"/>
      <c r="F242" s="75"/>
      <c r="G242" s="75"/>
      <c r="H242" s="69"/>
      <c r="I242" s="69"/>
    </row>
    <row r="243" spans="2:9">
      <c r="B243" s="75"/>
      <c r="C243" s="75"/>
      <c r="D243" s="75"/>
      <c r="E243" s="75"/>
      <c r="F243" s="75"/>
      <c r="G243" s="75"/>
      <c r="H243" s="69"/>
      <c r="I243" s="69"/>
    </row>
    <row r="244" spans="2:9">
      <c r="B244" s="75"/>
      <c r="C244" s="75"/>
      <c r="D244" s="75"/>
      <c r="E244" s="75"/>
      <c r="F244" s="75"/>
      <c r="G244" s="75"/>
      <c r="H244" s="69"/>
      <c r="I244" s="69"/>
    </row>
    <row r="245" spans="2:9">
      <c r="B245" s="75"/>
      <c r="C245" s="75"/>
      <c r="D245" s="75"/>
      <c r="E245" s="75"/>
      <c r="F245" s="75"/>
      <c r="G245" s="75"/>
      <c r="H245" s="69"/>
      <c r="I245" s="69"/>
    </row>
    <row r="246" spans="2:9">
      <c r="B246" s="75"/>
      <c r="C246" s="75"/>
      <c r="D246" s="75"/>
      <c r="E246" s="75"/>
      <c r="F246" s="75"/>
      <c r="G246" s="75"/>
      <c r="H246" s="69"/>
      <c r="I246" s="69"/>
    </row>
    <row r="247" spans="2:9">
      <c r="B247" s="75"/>
      <c r="C247" s="75"/>
      <c r="D247" s="75"/>
      <c r="E247" s="75"/>
      <c r="F247" s="75"/>
      <c r="G247" s="75"/>
      <c r="H247" s="69"/>
      <c r="I247" s="69"/>
    </row>
    <row r="248" spans="2:9">
      <c r="B248" s="75"/>
      <c r="C248" s="75"/>
      <c r="D248" s="75"/>
      <c r="E248" s="75"/>
      <c r="F248" s="75"/>
      <c r="G248" s="75"/>
      <c r="H248" s="69"/>
      <c r="I248" s="69"/>
    </row>
    <row r="249" spans="2:9">
      <c r="B249" s="75"/>
      <c r="C249" s="75"/>
      <c r="D249" s="75"/>
      <c r="E249" s="75"/>
      <c r="F249" s="75"/>
      <c r="G249" s="75"/>
      <c r="H249" s="69"/>
      <c r="I249" s="69"/>
    </row>
    <row r="250" spans="2:9">
      <c r="B250" s="75"/>
      <c r="C250" s="75"/>
      <c r="D250" s="75"/>
      <c r="E250" s="75"/>
      <c r="F250" s="75"/>
      <c r="G250" s="75"/>
      <c r="H250" s="69"/>
      <c r="I250" s="69"/>
    </row>
    <row r="251" spans="2:9">
      <c r="B251" s="75"/>
      <c r="C251" s="75"/>
      <c r="D251" s="75"/>
      <c r="E251" s="75"/>
      <c r="F251" s="75"/>
      <c r="G251" s="75"/>
      <c r="H251" s="69"/>
      <c r="I251" s="69"/>
    </row>
    <row r="252" spans="2:9">
      <c r="B252" s="75"/>
      <c r="C252" s="75"/>
      <c r="D252" s="75"/>
      <c r="E252" s="75"/>
      <c r="F252" s="75"/>
      <c r="G252" s="75"/>
      <c r="H252" s="69"/>
      <c r="I252" s="69"/>
    </row>
    <row r="253" spans="2:9">
      <c r="B253" s="75"/>
      <c r="C253" s="75"/>
      <c r="D253" s="75"/>
      <c r="E253" s="75"/>
      <c r="F253" s="75"/>
      <c r="G253" s="75"/>
      <c r="H253" s="69"/>
      <c r="I253" s="69"/>
    </row>
    <row r="254" spans="2:9">
      <c r="B254" s="75"/>
      <c r="C254" s="75"/>
      <c r="D254" s="75"/>
      <c r="E254" s="75"/>
      <c r="F254" s="75"/>
      <c r="G254" s="75"/>
      <c r="H254" s="69"/>
      <c r="I254" s="69"/>
    </row>
    <row r="255" spans="2:9">
      <c r="B255" s="75"/>
      <c r="C255" s="75"/>
      <c r="D255" s="75"/>
      <c r="E255" s="75"/>
      <c r="F255" s="75"/>
      <c r="G255" s="75"/>
      <c r="H255" s="69"/>
      <c r="I255" s="69"/>
    </row>
    <row r="256" spans="2:9">
      <c r="B256" s="75"/>
      <c r="C256" s="75"/>
      <c r="D256" s="75"/>
      <c r="E256" s="75"/>
      <c r="F256" s="75"/>
      <c r="G256" s="75"/>
      <c r="H256" s="69"/>
      <c r="I256" s="69"/>
    </row>
    <row r="257" spans="2:9">
      <c r="B257" s="75"/>
      <c r="C257" s="75"/>
      <c r="D257" s="75"/>
      <c r="E257" s="75"/>
      <c r="F257" s="75"/>
      <c r="G257" s="75"/>
      <c r="H257" s="69"/>
      <c r="I257" s="69"/>
    </row>
    <row r="258" spans="2:9">
      <c r="B258" s="75"/>
      <c r="C258" s="75"/>
      <c r="D258" s="75"/>
      <c r="E258" s="75"/>
      <c r="F258" s="75"/>
      <c r="G258" s="75"/>
      <c r="H258" s="69"/>
      <c r="I258" s="69"/>
    </row>
    <row r="259" spans="2:9">
      <c r="B259" s="75"/>
      <c r="C259" s="75"/>
      <c r="D259" s="75"/>
      <c r="E259" s="75"/>
      <c r="F259" s="75"/>
      <c r="G259" s="75"/>
      <c r="H259" s="69"/>
      <c r="I259" s="69"/>
    </row>
    <row r="260" spans="2:9">
      <c r="B260" s="75"/>
      <c r="C260" s="75"/>
      <c r="D260" s="75"/>
      <c r="E260" s="75"/>
      <c r="F260" s="75"/>
      <c r="G260" s="75"/>
      <c r="H260" s="69"/>
      <c r="I260" s="69"/>
    </row>
    <row r="261" spans="2:9">
      <c r="B261" s="75"/>
      <c r="C261" s="75"/>
      <c r="D261" s="75"/>
      <c r="E261" s="75"/>
      <c r="F261" s="75"/>
      <c r="G261" s="75"/>
      <c r="H261" s="69"/>
      <c r="I261" s="69"/>
    </row>
    <row r="262" spans="2:9">
      <c r="B262" s="75"/>
      <c r="C262" s="75"/>
      <c r="D262" s="75"/>
      <c r="E262" s="75"/>
      <c r="F262" s="75"/>
      <c r="G262" s="75"/>
      <c r="H262" s="69"/>
      <c r="I262" s="69"/>
    </row>
    <row r="263" spans="2:9">
      <c r="B263" s="75"/>
      <c r="C263" s="75"/>
      <c r="D263" s="75"/>
      <c r="E263" s="75"/>
      <c r="F263" s="75"/>
      <c r="G263" s="75"/>
      <c r="H263" s="69"/>
      <c r="I263" s="69"/>
    </row>
    <row r="264" spans="2:9">
      <c r="B264" s="75"/>
      <c r="C264" s="75"/>
      <c r="D264" s="75"/>
      <c r="E264" s="75"/>
      <c r="F264" s="75"/>
      <c r="G264" s="75"/>
      <c r="H264" s="69"/>
      <c r="I264" s="69"/>
    </row>
    <row r="265" spans="2:9">
      <c r="B265" s="75"/>
      <c r="C265" s="75"/>
      <c r="D265" s="75"/>
      <c r="E265" s="75"/>
      <c r="F265" s="75"/>
      <c r="G265" s="75"/>
      <c r="H265" s="69"/>
      <c r="I265" s="69"/>
    </row>
    <row r="266" spans="2:9">
      <c r="B266" s="75"/>
      <c r="C266" s="75"/>
      <c r="D266" s="75"/>
      <c r="E266" s="75"/>
      <c r="F266" s="75"/>
      <c r="G266" s="75"/>
      <c r="H266" s="69"/>
      <c r="I266" s="69"/>
    </row>
    <row r="267" spans="2:9">
      <c r="B267" s="75"/>
      <c r="C267" s="75"/>
      <c r="D267" s="75"/>
      <c r="E267" s="75"/>
      <c r="F267" s="75"/>
      <c r="G267" s="75"/>
      <c r="H267" s="69"/>
      <c r="I267" s="69"/>
    </row>
    <row r="268" spans="2:9">
      <c r="B268" s="75"/>
      <c r="C268" s="75"/>
      <c r="D268" s="75"/>
      <c r="E268" s="75"/>
      <c r="F268" s="75"/>
      <c r="G268" s="75"/>
      <c r="H268" s="69"/>
      <c r="I268" s="69"/>
    </row>
    <row r="269" spans="2:9">
      <c r="B269" s="75"/>
      <c r="C269" s="75"/>
      <c r="D269" s="75"/>
      <c r="E269" s="75"/>
      <c r="F269" s="75"/>
      <c r="G269" s="75"/>
      <c r="H269" s="69"/>
      <c r="I269" s="69"/>
    </row>
    <row r="270" spans="2:9">
      <c r="B270" s="75"/>
      <c r="C270" s="75"/>
      <c r="D270" s="75"/>
      <c r="E270" s="75"/>
      <c r="F270" s="75"/>
      <c r="G270" s="75"/>
      <c r="H270" s="69"/>
      <c r="I270" s="69"/>
    </row>
    <row r="271" spans="2:9">
      <c r="B271" s="75"/>
      <c r="C271" s="75"/>
      <c r="D271" s="75"/>
      <c r="E271" s="75"/>
      <c r="F271" s="75"/>
      <c r="G271" s="75"/>
      <c r="H271" s="69"/>
      <c r="I271" s="69"/>
    </row>
    <row r="272" spans="2:9">
      <c r="B272" s="75"/>
      <c r="C272" s="75"/>
      <c r="D272" s="75"/>
      <c r="E272" s="75"/>
      <c r="F272" s="75"/>
      <c r="G272" s="75"/>
      <c r="H272" s="69"/>
      <c r="I272" s="69"/>
    </row>
    <row r="273" spans="2:9">
      <c r="B273" s="75"/>
      <c r="C273" s="75"/>
      <c r="D273" s="75"/>
      <c r="E273" s="75"/>
      <c r="F273" s="75"/>
      <c r="G273" s="75"/>
      <c r="H273" s="69"/>
      <c r="I273" s="69"/>
    </row>
    <row r="274" spans="2:9">
      <c r="B274" s="75"/>
      <c r="C274" s="75"/>
      <c r="D274" s="75"/>
      <c r="E274" s="75"/>
      <c r="F274" s="75"/>
      <c r="G274" s="75"/>
      <c r="H274" s="69"/>
      <c r="I274" s="69"/>
    </row>
    <row r="275" spans="2:9">
      <c r="B275" s="75"/>
      <c r="C275" s="75"/>
      <c r="D275" s="75"/>
      <c r="E275" s="75"/>
      <c r="F275" s="75"/>
      <c r="G275" s="75"/>
      <c r="H275" s="69"/>
      <c r="I275" s="69"/>
    </row>
    <row r="276" spans="2:9">
      <c r="B276" s="75"/>
      <c r="C276" s="75"/>
      <c r="D276" s="75"/>
      <c r="E276" s="75"/>
      <c r="F276" s="75"/>
      <c r="G276" s="75"/>
      <c r="H276" s="69"/>
      <c r="I276" s="69"/>
    </row>
    <row r="277" spans="2:9">
      <c r="B277" s="75"/>
      <c r="C277" s="75"/>
      <c r="D277" s="75"/>
      <c r="E277" s="75"/>
      <c r="F277" s="75"/>
      <c r="G277" s="75"/>
      <c r="H277" s="69"/>
      <c r="I277" s="69"/>
    </row>
    <row r="278" spans="2:9">
      <c r="B278" s="75"/>
      <c r="C278" s="75"/>
      <c r="D278" s="75"/>
      <c r="E278" s="75"/>
      <c r="F278" s="75"/>
      <c r="G278" s="75"/>
      <c r="H278" s="69"/>
      <c r="I278" s="69"/>
    </row>
    <row r="279" spans="2:9">
      <c r="B279" s="75"/>
      <c r="C279" s="75"/>
      <c r="D279" s="75"/>
      <c r="E279" s="75"/>
      <c r="F279" s="75"/>
      <c r="G279" s="75"/>
      <c r="H279" s="69"/>
      <c r="I279" s="69"/>
    </row>
    <row r="280" spans="2:9">
      <c r="B280" s="75"/>
      <c r="C280" s="75"/>
      <c r="D280" s="75"/>
      <c r="E280" s="75"/>
      <c r="F280" s="75"/>
      <c r="G280" s="75"/>
      <c r="H280" s="69"/>
      <c r="I280" s="69"/>
    </row>
    <row r="281" spans="2:9">
      <c r="B281" s="75"/>
      <c r="C281" s="75"/>
      <c r="D281" s="75"/>
      <c r="E281" s="75"/>
      <c r="F281" s="75"/>
      <c r="G281" s="75"/>
      <c r="H281" s="69"/>
      <c r="I281" s="69"/>
    </row>
    <row r="282" spans="2:9">
      <c r="B282" s="75"/>
      <c r="C282" s="75"/>
      <c r="D282" s="75"/>
      <c r="E282" s="75"/>
      <c r="F282" s="75"/>
      <c r="G282" s="75"/>
      <c r="H282" s="69"/>
      <c r="I282" s="69"/>
    </row>
    <row r="283" spans="2:9">
      <c r="B283" s="75"/>
      <c r="C283" s="75"/>
      <c r="D283" s="75"/>
      <c r="E283" s="75"/>
      <c r="F283" s="75"/>
      <c r="G283" s="75"/>
      <c r="H283" s="69"/>
      <c r="I283" s="69"/>
    </row>
    <row r="284" spans="2:9">
      <c r="B284" s="75"/>
      <c r="C284" s="75"/>
      <c r="D284" s="75"/>
      <c r="E284" s="75"/>
      <c r="F284" s="75"/>
      <c r="G284" s="75"/>
      <c r="H284" s="69"/>
      <c r="I284" s="69"/>
    </row>
    <row r="285" spans="2:9">
      <c r="B285" s="75"/>
      <c r="C285" s="75"/>
      <c r="D285" s="75"/>
      <c r="E285" s="75"/>
      <c r="F285" s="75"/>
      <c r="G285" s="75"/>
      <c r="H285" s="69"/>
      <c r="I285" s="69"/>
    </row>
    <row r="286" spans="2:9">
      <c r="B286" s="75"/>
      <c r="C286" s="75"/>
      <c r="D286" s="75"/>
      <c r="E286" s="75"/>
      <c r="F286" s="75"/>
      <c r="G286" s="75"/>
      <c r="H286" s="69"/>
      <c r="I286" s="69"/>
    </row>
    <row r="287" spans="2:9">
      <c r="B287" s="75"/>
      <c r="C287" s="75"/>
      <c r="D287" s="75"/>
      <c r="E287" s="75"/>
      <c r="F287" s="75"/>
      <c r="G287" s="75"/>
      <c r="H287" s="69"/>
      <c r="I287" s="69"/>
    </row>
    <row r="288" spans="2:9">
      <c r="B288" s="75"/>
      <c r="C288" s="75"/>
      <c r="D288" s="75"/>
      <c r="E288" s="75"/>
      <c r="F288" s="75"/>
      <c r="G288" s="75"/>
      <c r="H288" s="69"/>
      <c r="I288" s="69"/>
    </row>
    <row r="289" spans="2:9">
      <c r="B289" s="75"/>
      <c r="C289" s="75"/>
      <c r="D289" s="75"/>
      <c r="E289" s="75"/>
      <c r="F289" s="75"/>
      <c r="G289" s="75"/>
      <c r="H289" s="69"/>
      <c r="I289" s="69"/>
    </row>
    <row r="290" spans="2:9">
      <c r="B290" s="75"/>
      <c r="C290" s="75"/>
      <c r="D290" s="75"/>
      <c r="E290" s="75"/>
      <c r="F290" s="75"/>
      <c r="G290" s="75"/>
      <c r="H290" s="69"/>
      <c r="I290" s="69"/>
    </row>
    <row r="291" spans="2:9">
      <c r="B291" s="75"/>
      <c r="C291" s="75"/>
      <c r="D291" s="75"/>
      <c r="E291" s="75"/>
      <c r="F291" s="75"/>
      <c r="G291" s="75"/>
      <c r="H291" s="69"/>
      <c r="I291" s="69"/>
    </row>
    <row r="292" spans="2:9">
      <c r="B292" s="75"/>
      <c r="C292" s="75"/>
      <c r="D292" s="75"/>
      <c r="E292" s="75"/>
      <c r="F292" s="75"/>
      <c r="G292" s="75"/>
      <c r="H292" s="69"/>
      <c r="I292" s="69"/>
    </row>
    <row r="293" spans="2:9">
      <c r="B293" s="75"/>
      <c r="C293" s="75"/>
      <c r="D293" s="75"/>
      <c r="E293" s="75"/>
      <c r="F293" s="75"/>
      <c r="G293" s="75"/>
      <c r="H293" s="69"/>
      <c r="I293" s="69"/>
    </row>
    <row r="294" spans="2:9">
      <c r="B294" s="75"/>
      <c r="C294" s="75"/>
      <c r="D294" s="75"/>
      <c r="E294" s="75"/>
      <c r="F294" s="75"/>
      <c r="G294" s="75"/>
      <c r="H294" s="69"/>
      <c r="I294" s="69"/>
    </row>
    <row r="295" spans="2:9">
      <c r="B295" s="75"/>
      <c r="C295" s="75"/>
      <c r="D295" s="75"/>
      <c r="E295" s="75"/>
      <c r="F295" s="75"/>
      <c r="G295" s="75"/>
      <c r="H295" s="69"/>
      <c r="I295" s="69"/>
    </row>
    <row r="296" spans="2:9">
      <c r="B296" s="75"/>
      <c r="C296" s="75"/>
      <c r="D296" s="75"/>
      <c r="E296" s="75"/>
      <c r="F296" s="75"/>
      <c r="G296" s="75"/>
      <c r="H296" s="69"/>
      <c r="I296" s="69"/>
    </row>
    <row r="297" spans="2:9">
      <c r="B297" s="75"/>
      <c r="C297" s="75"/>
      <c r="D297" s="75"/>
      <c r="E297" s="75"/>
      <c r="F297" s="75"/>
      <c r="G297" s="75"/>
      <c r="H297" s="69"/>
      <c r="I297" s="69"/>
    </row>
    <row r="298" spans="2:9">
      <c r="B298" s="75"/>
      <c r="C298" s="75"/>
      <c r="D298" s="75"/>
      <c r="E298" s="75"/>
      <c r="F298" s="75"/>
      <c r="G298" s="75"/>
      <c r="H298" s="69"/>
      <c r="I298" s="69"/>
    </row>
    <row r="299" spans="2:9">
      <c r="B299" s="75"/>
      <c r="C299" s="75"/>
      <c r="D299" s="75"/>
      <c r="E299" s="75"/>
      <c r="F299" s="75"/>
      <c r="G299" s="75"/>
      <c r="H299" s="69"/>
      <c r="I299" s="69"/>
    </row>
    <row r="300" spans="2:9">
      <c r="B300" s="75"/>
      <c r="C300" s="75"/>
      <c r="D300" s="75"/>
      <c r="E300" s="75"/>
      <c r="F300" s="75"/>
      <c r="G300" s="75"/>
      <c r="H300" s="69"/>
      <c r="I300" s="69"/>
    </row>
    <row r="301" spans="2:9">
      <c r="B301" s="75"/>
      <c r="C301" s="75"/>
      <c r="D301" s="75"/>
      <c r="E301" s="75"/>
      <c r="F301" s="75"/>
      <c r="G301" s="75"/>
      <c r="H301" s="69"/>
      <c r="I301" s="69"/>
    </row>
    <row r="302" spans="2:9">
      <c r="B302" s="75"/>
      <c r="C302" s="75"/>
      <c r="D302" s="75"/>
      <c r="E302" s="75"/>
      <c r="F302" s="75"/>
      <c r="G302" s="75"/>
      <c r="H302" s="69"/>
      <c r="I302" s="69"/>
    </row>
    <row r="303" spans="2:9">
      <c r="B303" s="75"/>
      <c r="C303" s="75"/>
      <c r="D303" s="75"/>
      <c r="E303" s="75"/>
      <c r="F303" s="75"/>
      <c r="G303" s="75"/>
      <c r="H303" s="69"/>
      <c r="I303" s="69"/>
    </row>
    <row r="304" spans="2:9">
      <c r="B304" s="75"/>
      <c r="C304" s="75"/>
      <c r="D304" s="75"/>
      <c r="E304" s="75"/>
      <c r="F304" s="75"/>
      <c r="G304" s="75"/>
      <c r="H304" s="69"/>
      <c r="I304" s="69"/>
    </row>
    <row r="305" spans="2:9">
      <c r="B305" s="75"/>
      <c r="C305" s="75"/>
      <c r="D305" s="75"/>
      <c r="E305" s="75"/>
      <c r="F305" s="75"/>
      <c r="G305" s="75"/>
      <c r="H305" s="69"/>
      <c r="I305" s="69"/>
    </row>
    <row r="306" spans="2:9">
      <c r="B306" s="75"/>
      <c r="C306" s="75"/>
      <c r="D306" s="75"/>
      <c r="E306" s="75"/>
      <c r="F306" s="75"/>
      <c r="G306" s="75"/>
      <c r="H306" s="69"/>
      <c r="I306" s="69"/>
    </row>
    <row r="307" spans="2:9">
      <c r="B307" s="75"/>
      <c r="C307" s="75"/>
      <c r="D307" s="75"/>
      <c r="E307" s="75"/>
      <c r="F307" s="75"/>
      <c r="G307" s="75"/>
      <c r="H307" s="69"/>
      <c r="I307" s="69"/>
    </row>
    <row r="308" spans="2:9">
      <c r="B308" s="75"/>
      <c r="C308" s="75"/>
      <c r="D308" s="75"/>
      <c r="E308" s="75"/>
      <c r="F308" s="75"/>
      <c r="G308" s="75"/>
      <c r="H308" s="69"/>
      <c r="I308" s="69"/>
    </row>
    <row r="309" spans="2:9">
      <c r="B309" s="75"/>
      <c r="C309" s="75"/>
      <c r="D309" s="75"/>
      <c r="E309" s="75"/>
      <c r="F309" s="75"/>
      <c r="G309" s="75"/>
      <c r="H309" s="69"/>
      <c r="I309" s="69"/>
    </row>
    <row r="310" spans="2:9">
      <c r="B310" s="75"/>
      <c r="C310" s="75"/>
      <c r="D310" s="75"/>
      <c r="E310" s="75"/>
      <c r="F310" s="75"/>
      <c r="G310" s="75"/>
      <c r="H310" s="69"/>
      <c r="I310" s="69"/>
    </row>
    <row r="311" spans="2:9">
      <c r="B311" s="75"/>
      <c r="C311" s="75"/>
      <c r="D311" s="75"/>
      <c r="E311" s="75"/>
      <c r="F311" s="75"/>
      <c r="G311" s="75"/>
      <c r="H311" s="69"/>
      <c r="I311" s="69"/>
    </row>
    <row r="312" spans="2:9">
      <c r="B312" s="75"/>
      <c r="C312" s="75"/>
      <c r="D312" s="75"/>
      <c r="E312" s="75"/>
      <c r="F312" s="75"/>
      <c r="G312" s="75"/>
      <c r="H312" s="69"/>
      <c r="I312" s="69"/>
    </row>
    <row r="313" spans="2:9">
      <c r="B313" s="75"/>
      <c r="C313" s="75"/>
      <c r="D313" s="75"/>
      <c r="E313" s="75"/>
      <c r="F313" s="75"/>
      <c r="G313" s="75"/>
      <c r="H313" s="69"/>
      <c r="I313" s="69"/>
    </row>
    <row r="314" spans="2:9">
      <c r="B314" s="75"/>
      <c r="C314" s="75"/>
      <c r="D314" s="75"/>
      <c r="E314" s="75"/>
      <c r="F314" s="75"/>
      <c r="G314" s="75"/>
      <c r="H314" s="69"/>
      <c r="I314" s="69"/>
    </row>
    <row r="315" spans="2:9">
      <c r="B315" s="75"/>
      <c r="C315" s="75"/>
      <c r="D315" s="75"/>
      <c r="E315" s="75"/>
      <c r="F315" s="75"/>
      <c r="G315" s="75"/>
      <c r="H315" s="69"/>
      <c r="I315" s="69"/>
    </row>
    <row r="316" spans="2:9">
      <c r="B316" s="75"/>
      <c r="C316" s="75"/>
      <c r="D316" s="75"/>
      <c r="E316" s="75"/>
      <c r="F316" s="75"/>
      <c r="G316" s="75"/>
      <c r="H316" s="69"/>
      <c r="I316" s="69"/>
    </row>
    <row r="317" spans="2:9">
      <c r="B317" s="75"/>
      <c r="C317" s="75"/>
      <c r="D317" s="75"/>
      <c r="E317" s="75"/>
      <c r="F317" s="75"/>
      <c r="G317" s="75"/>
      <c r="H317" s="69"/>
      <c r="I317" s="69"/>
    </row>
    <row r="318" spans="2:9">
      <c r="B318" s="75"/>
      <c r="C318" s="75"/>
      <c r="D318" s="75"/>
      <c r="E318" s="75"/>
      <c r="F318" s="75"/>
      <c r="G318" s="75"/>
      <c r="H318" s="69"/>
      <c r="I318" s="69"/>
    </row>
    <row r="319" spans="2:9">
      <c r="B319" s="75"/>
      <c r="C319" s="75"/>
      <c r="D319" s="75"/>
      <c r="E319" s="75"/>
      <c r="F319" s="75"/>
      <c r="G319" s="75"/>
      <c r="H319" s="69"/>
      <c r="I319" s="69"/>
    </row>
    <row r="320" spans="2:9">
      <c r="B320" s="75"/>
      <c r="C320" s="75"/>
      <c r="D320" s="75"/>
      <c r="E320" s="75"/>
      <c r="F320" s="75"/>
      <c r="G320" s="75"/>
      <c r="H320" s="69"/>
      <c r="I320" s="69"/>
    </row>
    <row r="321" spans="2:9">
      <c r="B321" s="75"/>
      <c r="C321" s="75"/>
      <c r="D321" s="75"/>
      <c r="E321" s="75"/>
      <c r="F321" s="75"/>
      <c r="G321" s="75"/>
      <c r="H321" s="69"/>
      <c r="I321" s="69"/>
    </row>
    <row r="322" spans="2:9">
      <c r="B322" s="75"/>
      <c r="C322" s="75"/>
      <c r="D322" s="75"/>
      <c r="E322" s="75"/>
      <c r="F322" s="75"/>
      <c r="G322" s="75"/>
      <c r="H322" s="69"/>
      <c r="I322" s="69"/>
    </row>
    <row r="323" spans="2:9">
      <c r="B323" s="75"/>
      <c r="C323" s="75"/>
      <c r="D323" s="75"/>
      <c r="E323" s="75"/>
      <c r="F323" s="75"/>
      <c r="G323" s="75"/>
      <c r="H323" s="69"/>
      <c r="I323" s="69"/>
    </row>
    <row r="324" spans="2:9">
      <c r="B324" s="75"/>
      <c r="C324" s="75"/>
      <c r="D324" s="75"/>
      <c r="E324" s="75"/>
      <c r="F324" s="75"/>
      <c r="G324" s="75"/>
      <c r="H324" s="69"/>
      <c r="I324" s="69"/>
    </row>
    <row r="325" spans="2:9">
      <c r="B325" s="75"/>
      <c r="C325" s="75"/>
      <c r="D325" s="75"/>
      <c r="E325" s="75"/>
      <c r="F325" s="75"/>
      <c r="G325" s="75"/>
      <c r="H325" s="69"/>
      <c r="I325" s="69"/>
    </row>
    <row r="326" spans="2:9">
      <c r="B326" s="75"/>
      <c r="C326" s="75"/>
      <c r="D326" s="75"/>
      <c r="E326" s="75"/>
      <c r="F326" s="75"/>
      <c r="G326" s="75"/>
      <c r="H326" s="69"/>
      <c r="I326" s="69"/>
    </row>
    <row r="327" spans="2:9">
      <c r="B327" s="75"/>
      <c r="C327" s="75"/>
      <c r="D327" s="75"/>
      <c r="E327" s="75"/>
      <c r="F327" s="75"/>
      <c r="G327" s="75"/>
      <c r="H327" s="69"/>
      <c r="I327" s="69"/>
    </row>
    <row r="328" spans="2:9">
      <c r="B328" s="75"/>
      <c r="C328" s="75"/>
      <c r="D328" s="75"/>
      <c r="E328" s="75"/>
      <c r="F328" s="75"/>
      <c r="G328" s="75"/>
      <c r="H328" s="69"/>
      <c r="I328" s="69"/>
    </row>
    <row r="329" spans="2:9">
      <c r="B329" s="75"/>
      <c r="C329" s="75"/>
      <c r="D329" s="75"/>
      <c r="E329" s="75"/>
      <c r="F329" s="75"/>
      <c r="G329" s="75"/>
      <c r="H329" s="69"/>
      <c r="I329" s="69"/>
    </row>
    <row r="330" spans="2:9">
      <c r="B330" s="75"/>
      <c r="C330" s="75"/>
      <c r="D330" s="75"/>
      <c r="E330" s="75"/>
      <c r="F330" s="75"/>
      <c r="G330" s="75"/>
      <c r="H330" s="69"/>
      <c r="I330" s="69"/>
    </row>
    <row r="331" spans="2:9">
      <c r="B331" s="75"/>
      <c r="C331" s="75"/>
      <c r="D331" s="75"/>
      <c r="E331" s="75"/>
      <c r="F331" s="75"/>
      <c r="G331" s="75"/>
      <c r="H331" s="69"/>
      <c r="I331" s="69"/>
    </row>
    <row r="332" spans="2:9">
      <c r="B332" s="75"/>
      <c r="C332" s="75"/>
      <c r="D332" s="75"/>
      <c r="E332" s="75"/>
      <c r="F332" s="75"/>
      <c r="G332" s="75"/>
      <c r="H332" s="69"/>
      <c r="I332" s="69"/>
    </row>
    <row r="333" spans="2:9">
      <c r="B333" s="75"/>
      <c r="C333" s="75"/>
      <c r="D333" s="75"/>
      <c r="E333" s="75"/>
      <c r="F333" s="75"/>
      <c r="G333" s="75"/>
      <c r="H333" s="69"/>
      <c r="I333" s="69"/>
    </row>
    <row r="334" spans="2:9">
      <c r="B334" s="75"/>
      <c r="C334" s="75"/>
      <c r="D334" s="75"/>
      <c r="E334" s="75"/>
      <c r="F334" s="75"/>
      <c r="G334" s="75"/>
      <c r="H334" s="69"/>
      <c r="I334" s="69"/>
    </row>
    <row r="335" spans="2:9">
      <c r="B335" s="75"/>
      <c r="C335" s="75"/>
      <c r="D335" s="75"/>
      <c r="E335" s="75"/>
      <c r="F335" s="75"/>
      <c r="G335" s="75"/>
      <c r="H335" s="69"/>
      <c r="I335" s="69"/>
    </row>
    <row r="336" spans="2:9">
      <c r="B336" s="75"/>
      <c r="C336" s="75"/>
      <c r="D336" s="75"/>
      <c r="E336" s="75"/>
      <c r="F336" s="75"/>
      <c r="G336" s="75"/>
      <c r="H336" s="69"/>
      <c r="I336" s="69"/>
    </row>
    <row r="337" spans="2:9">
      <c r="B337" s="75"/>
      <c r="C337" s="75"/>
      <c r="D337" s="75"/>
      <c r="E337" s="75"/>
      <c r="F337" s="75"/>
      <c r="G337" s="75"/>
      <c r="H337" s="69"/>
      <c r="I337" s="69"/>
    </row>
    <row r="338" spans="2:9">
      <c r="B338" s="75"/>
      <c r="C338" s="75"/>
      <c r="D338" s="75"/>
      <c r="E338" s="75"/>
      <c r="F338" s="75"/>
      <c r="G338" s="75"/>
      <c r="H338" s="69"/>
      <c r="I338" s="69"/>
    </row>
    <row r="339" spans="2:9">
      <c r="B339" s="75"/>
      <c r="C339" s="75"/>
      <c r="D339" s="75"/>
      <c r="E339" s="75"/>
      <c r="F339" s="75"/>
      <c r="G339" s="75"/>
      <c r="H339" s="69"/>
      <c r="I339" s="69"/>
    </row>
    <row r="340" spans="2:9">
      <c r="B340" s="75"/>
      <c r="C340" s="75"/>
      <c r="D340" s="75"/>
      <c r="E340" s="75"/>
      <c r="F340" s="75"/>
      <c r="G340" s="75"/>
      <c r="H340" s="69"/>
      <c r="I340" s="69"/>
    </row>
    <row r="341" spans="2:9">
      <c r="B341" s="75"/>
      <c r="C341" s="75"/>
      <c r="D341" s="75"/>
      <c r="E341" s="75"/>
      <c r="F341" s="75"/>
      <c r="G341" s="75"/>
      <c r="H341" s="69"/>
      <c r="I341" s="69"/>
    </row>
    <row r="342" spans="2:9">
      <c r="B342" s="75"/>
      <c r="C342" s="75"/>
      <c r="D342" s="75"/>
      <c r="E342" s="75"/>
      <c r="F342" s="75"/>
      <c r="G342" s="75"/>
      <c r="H342" s="69"/>
      <c r="I342" s="69"/>
    </row>
    <row r="343" spans="2:9">
      <c r="B343" s="75"/>
      <c r="C343" s="75"/>
      <c r="D343" s="75"/>
      <c r="E343" s="75"/>
      <c r="F343" s="75"/>
      <c r="G343" s="75"/>
      <c r="H343" s="69"/>
      <c r="I343" s="69"/>
    </row>
    <row r="344" spans="2:9">
      <c r="B344" s="75"/>
      <c r="C344" s="75"/>
      <c r="D344" s="75"/>
      <c r="E344" s="75"/>
      <c r="F344" s="75"/>
      <c r="G344" s="75"/>
      <c r="H344" s="69"/>
      <c r="I344" s="69"/>
    </row>
    <row r="345" spans="2:9">
      <c r="B345" s="75"/>
      <c r="C345" s="75"/>
      <c r="D345" s="75"/>
      <c r="E345" s="75"/>
      <c r="F345" s="75"/>
      <c r="G345" s="75"/>
      <c r="H345" s="69"/>
      <c r="I345" s="69"/>
    </row>
    <row r="346" spans="2:9">
      <c r="B346" s="75"/>
      <c r="C346" s="75"/>
      <c r="D346" s="75"/>
      <c r="E346" s="75"/>
      <c r="F346" s="75"/>
      <c r="G346" s="75"/>
      <c r="H346" s="69"/>
      <c r="I346" s="69"/>
    </row>
    <row r="347" spans="2:9">
      <c r="B347" s="75"/>
      <c r="C347" s="75"/>
      <c r="D347" s="75"/>
      <c r="E347" s="75"/>
      <c r="F347" s="75"/>
      <c r="G347" s="75"/>
      <c r="H347" s="69"/>
      <c r="I347" s="69"/>
    </row>
    <row r="348" spans="2:9">
      <c r="B348" s="75"/>
      <c r="C348" s="75"/>
      <c r="D348" s="75"/>
      <c r="E348" s="75"/>
      <c r="F348" s="75"/>
      <c r="G348" s="75"/>
      <c r="H348" s="69"/>
      <c r="I348" s="69"/>
    </row>
    <row r="349" spans="2:9">
      <c r="B349" s="75"/>
      <c r="C349" s="75"/>
      <c r="D349" s="75"/>
      <c r="E349" s="75"/>
      <c r="F349" s="75"/>
      <c r="G349" s="75"/>
      <c r="H349" s="69"/>
      <c r="I349" s="69"/>
    </row>
    <row r="350" spans="2:9">
      <c r="B350" s="75"/>
      <c r="C350" s="75"/>
      <c r="D350" s="75"/>
      <c r="E350" s="75"/>
      <c r="F350" s="75"/>
      <c r="G350" s="75"/>
      <c r="H350" s="69"/>
      <c r="I350" s="69"/>
    </row>
    <row r="351" spans="2:9">
      <c r="B351" s="75"/>
      <c r="C351" s="75"/>
      <c r="D351" s="75"/>
      <c r="E351" s="75"/>
      <c r="F351" s="75"/>
      <c r="G351" s="75"/>
      <c r="H351" s="69"/>
      <c r="I351" s="69"/>
    </row>
    <row r="352" spans="2:9">
      <c r="B352" s="75"/>
      <c r="C352" s="75"/>
      <c r="D352" s="75"/>
      <c r="E352" s="75"/>
      <c r="F352" s="75"/>
      <c r="G352" s="75"/>
      <c r="H352" s="69"/>
      <c r="I352" s="69"/>
    </row>
    <row r="353" spans="2:9">
      <c r="B353" s="75"/>
      <c r="C353" s="75"/>
      <c r="D353" s="75"/>
      <c r="E353" s="75"/>
      <c r="F353" s="75"/>
      <c r="G353" s="75"/>
      <c r="H353" s="69"/>
      <c r="I353" s="69"/>
    </row>
    <row r="354" spans="2:9">
      <c r="B354" s="75"/>
      <c r="C354" s="75"/>
      <c r="D354" s="75"/>
      <c r="E354" s="75"/>
      <c r="F354" s="75"/>
      <c r="G354" s="75"/>
      <c r="H354" s="69"/>
      <c r="I354" s="69"/>
    </row>
    <row r="355" spans="2:9">
      <c r="B355" s="75"/>
      <c r="C355" s="75"/>
      <c r="D355" s="75"/>
      <c r="E355" s="75"/>
      <c r="F355" s="75"/>
      <c r="G355" s="75"/>
      <c r="H355" s="69"/>
      <c r="I355" s="69"/>
    </row>
    <row r="356" spans="2:9">
      <c r="B356" s="75"/>
      <c r="C356" s="75"/>
      <c r="D356" s="75"/>
      <c r="E356" s="75"/>
      <c r="F356" s="75"/>
      <c r="G356" s="75"/>
      <c r="H356" s="69"/>
      <c r="I356" s="69"/>
    </row>
    <row r="357" spans="2:9">
      <c r="B357" s="75"/>
      <c r="C357" s="75"/>
      <c r="D357" s="75"/>
      <c r="E357" s="75"/>
      <c r="F357" s="75"/>
      <c r="G357" s="75"/>
      <c r="H357" s="69"/>
      <c r="I357" s="69"/>
    </row>
    <row r="358" spans="2:9">
      <c r="B358" s="75"/>
      <c r="C358" s="75"/>
      <c r="D358" s="75"/>
      <c r="E358" s="75"/>
      <c r="F358" s="75"/>
      <c r="G358" s="75"/>
      <c r="H358" s="69"/>
      <c r="I358" s="69"/>
    </row>
    <row r="359" spans="2:9">
      <c r="B359" s="75"/>
      <c r="C359" s="75"/>
      <c r="D359" s="75"/>
      <c r="E359" s="75"/>
      <c r="F359" s="75"/>
      <c r="G359" s="75"/>
      <c r="H359" s="69"/>
      <c r="I359" s="69"/>
    </row>
    <row r="360" spans="2:9">
      <c r="B360" s="75"/>
      <c r="C360" s="75"/>
      <c r="D360" s="75"/>
      <c r="E360" s="75"/>
      <c r="F360" s="75"/>
      <c r="G360" s="75"/>
      <c r="H360" s="69"/>
      <c r="I360" s="69"/>
    </row>
    <row r="361" spans="2:9">
      <c r="B361" s="75"/>
      <c r="C361" s="75"/>
      <c r="D361" s="75"/>
      <c r="E361" s="75"/>
      <c r="F361" s="75"/>
      <c r="G361" s="75"/>
      <c r="H361" s="69"/>
      <c r="I361" s="69"/>
    </row>
    <row r="362" spans="2:9">
      <c r="B362" s="75"/>
      <c r="C362" s="75"/>
      <c r="D362" s="75"/>
      <c r="E362" s="75"/>
      <c r="F362" s="75"/>
      <c r="G362" s="75"/>
      <c r="H362" s="69"/>
      <c r="I362" s="69"/>
    </row>
    <row r="363" spans="2:9">
      <c r="B363" s="75"/>
      <c r="C363" s="75"/>
      <c r="D363" s="75"/>
      <c r="E363" s="75"/>
      <c r="F363" s="75"/>
      <c r="G363" s="75"/>
      <c r="H363" s="69"/>
      <c r="I363" s="69"/>
    </row>
    <row r="364" spans="2:9">
      <c r="B364" s="75"/>
      <c r="C364" s="75"/>
      <c r="D364" s="75"/>
      <c r="E364" s="75"/>
      <c r="F364" s="75"/>
      <c r="G364" s="75"/>
      <c r="H364" s="69"/>
      <c r="I364" s="69"/>
    </row>
    <row r="365" spans="2:9">
      <c r="B365" s="75"/>
      <c r="C365" s="75"/>
      <c r="D365" s="75"/>
      <c r="E365" s="75"/>
      <c r="F365" s="75"/>
      <c r="G365" s="75"/>
      <c r="H365" s="69"/>
      <c r="I365" s="69"/>
    </row>
    <row r="366" spans="2:9">
      <c r="B366" s="75"/>
      <c r="C366" s="75"/>
      <c r="D366" s="75"/>
      <c r="E366" s="75"/>
      <c r="F366" s="75"/>
      <c r="G366" s="75"/>
      <c r="H366" s="69"/>
      <c r="I366" s="69"/>
    </row>
    <row r="367" spans="2:9">
      <c r="B367" s="75"/>
      <c r="C367" s="75"/>
      <c r="D367" s="75"/>
      <c r="E367" s="75"/>
      <c r="F367" s="75"/>
      <c r="G367" s="75"/>
      <c r="H367" s="69"/>
      <c r="I367" s="69"/>
    </row>
    <row r="368" spans="2:9">
      <c r="B368" s="75"/>
      <c r="C368" s="75"/>
      <c r="D368" s="75"/>
      <c r="E368" s="75"/>
      <c r="F368" s="75"/>
      <c r="G368" s="75"/>
      <c r="H368" s="69"/>
      <c r="I368" s="69"/>
    </row>
    <row r="369" spans="2:9">
      <c r="B369" s="75"/>
      <c r="C369" s="75"/>
      <c r="D369" s="75"/>
      <c r="E369" s="75"/>
      <c r="F369" s="75"/>
      <c r="G369" s="75"/>
      <c r="H369" s="69"/>
      <c r="I369" s="69"/>
    </row>
    <row r="370" spans="2:9">
      <c r="B370" s="75"/>
      <c r="C370" s="75"/>
      <c r="D370" s="75"/>
      <c r="E370" s="75"/>
      <c r="F370" s="75"/>
      <c r="G370" s="75"/>
      <c r="H370" s="69"/>
      <c r="I370" s="69"/>
    </row>
    <row r="371" spans="2:9">
      <c r="B371" s="75"/>
      <c r="C371" s="75"/>
      <c r="D371" s="75"/>
      <c r="E371" s="75"/>
      <c r="F371" s="75"/>
      <c r="G371" s="75"/>
      <c r="H371" s="69"/>
      <c r="I371" s="69"/>
    </row>
    <row r="372" spans="2:9">
      <c r="B372" s="75"/>
      <c r="C372" s="75"/>
      <c r="D372" s="75"/>
      <c r="E372" s="75"/>
      <c r="F372" s="75"/>
      <c r="G372" s="75"/>
      <c r="H372" s="69"/>
      <c r="I372" s="69"/>
    </row>
    <row r="373" spans="2:9">
      <c r="B373" s="75"/>
      <c r="C373" s="75"/>
      <c r="D373" s="75"/>
      <c r="E373" s="75"/>
      <c r="F373" s="75"/>
      <c r="G373" s="75"/>
      <c r="H373" s="69"/>
      <c r="I373" s="69"/>
    </row>
    <row r="374" spans="2:9">
      <c r="B374" s="75"/>
      <c r="C374" s="75"/>
      <c r="D374" s="75"/>
      <c r="E374" s="75"/>
      <c r="F374" s="75"/>
      <c r="G374" s="75"/>
      <c r="H374" s="69"/>
      <c r="I374" s="69"/>
    </row>
    <row r="375" spans="2:9">
      <c r="B375" s="75"/>
      <c r="C375" s="75"/>
      <c r="D375" s="75"/>
      <c r="E375" s="75"/>
      <c r="F375" s="75"/>
      <c r="G375" s="75"/>
      <c r="H375" s="69"/>
      <c r="I375" s="69"/>
    </row>
    <row r="376" spans="2:9">
      <c r="B376" s="75"/>
      <c r="C376" s="75"/>
      <c r="D376" s="75"/>
      <c r="E376" s="75"/>
      <c r="F376" s="75"/>
      <c r="G376" s="75"/>
      <c r="H376" s="69"/>
      <c r="I376" s="69"/>
    </row>
    <row r="377" spans="2:9">
      <c r="B377" s="75"/>
      <c r="C377" s="75"/>
      <c r="D377" s="75"/>
      <c r="E377" s="75"/>
      <c r="F377" s="75"/>
      <c r="G377" s="75"/>
      <c r="H377" s="69"/>
      <c r="I377" s="69"/>
    </row>
    <row r="378" spans="2:9">
      <c r="B378" s="75"/>
      <c r="C378" s="75"/>
      <c r="D378" s="75"/>
      <c r="E378" s="75"/>
      <c r="F378" s="75"/>
      <c r="G378" s="75"/>
      <c r="H378" s="69"/>
      <c r="I378" s="69"/>
    </row>
    <row r="379" spans="2:9">
      <c r="B379" s="75"/>
      <c r="C379" s="75"/>
      <c r="D379" s="75"/>
      <c r="E379" s="75"/>
      <c r="F379" s="75"/>
      <c r="G379" s="75"/>
      <c r="H379" s="69"/>
      <c r="I379" s="69"/>
    </row>
    <row r="380" spans="2:9">
      <c r="B380" s="75"/>
      <c r="C380" s="75"/>
      <c r="D380" s="75"/>
      <c r="E380" s="75"/>
      <c r="F380" s="75"/>
      <c r="G380" s="75"/>
      <c r="H380" s="69"/>
      <c r="I380" s="69"/>
    </row>
    <row r="381" spans="2:9">
      <c r="B381" s="75"/>
      <c r="C381" s="75"/>
      <c r="D381" s="75"/>
      <c r="E381" s="75"/>
      <c r="F381" s="75"/>
      <c r="G381" s="75"/>
      <c r="H381" s="69"/>
      <c r="I381" s="69"/>
    </row>
    <row r="382" spans="2:9">
      <c r="B382" s="75"/>
      <c r="C382" s="75"/>
      <c r="D382" s="75"/>
      <c r="E382" s="75"/>
      <c r="F382" s="75"/>
      <c r="G382" s="75"/>
      <c r="H382" s="69"/>
      <c r="I382" s="69"/>
    </row>
    <row r="383" spans="2:9">
      <c r="B383" s="75"/>
      <c r="C383" s="75"/>
      <c r="D383" s="75"/>
      <c r="E383" s="75"/>
      <c r="F383" s="75"/>
      <c r="G383" s="75"/>
      <c r="H383" s="69"/>
      <c r="I383" s="69"/>
    </row>
    <row r="384" spans="2:9">
      <c r="B384" s="75"/>
      <c r="C384" s="75"/>
      <c r="D384" s="75"/>
      <c r="E384" s="75"/>
      <c r="F384" s="75"/>
      <c r="G384" s="75"/>
      <c r="H384" s="69"/>
      <c r="I384" s="69"/>
    </row>
    <row r="385" spans="2:9">
      <c r="B385" s="75"/>
      <c r="C385" s="75"/>
      <c r="D385" s="75"/>
      <c r="E385" s="75"/>
      <c r="F385" s="75"/>
      <c r="G385" s="75"/>
      <c r="H385" s="69"/>
      <c r="I385" s="69"/>
    </row>
    <row r="386" spans="2:9">
      <c r="B386" s="75"/>
      <c r="C386" s="75"/>
      <c r="D386" s="75"/>
      <c r="E386" s="75"/>
      <c r="F386" s="75"/>
      <c r="G386" s="75"/>
      <c r="H386" s="69"/>
      <c r="I386" s="69"/>
    </row>
    <row r="387" spans="2:9">
      <c r="B387" s="75"/>
      <c r="C387" s="75"/>
      <c r="D387" s="75"/>
      <c r="E387" s="75"/>
      <c r="F387" s="75"/>
      <c r="G387" s="75"/>
      <c r="H387" s="69"/>
      <c r="I387" s="69"/>
    </row>
    <row r="388" spans="2:9">
      <c r="B388" s="75"/>
      <c r="C388" s="75"/>
      <c r="D388" s="75"/>
      <c r="E388" s="75"/>
      <c r="F388" s="75"/>
      <c r="G388" s="75"/>
      <c r="H388" s="69"/>
      <c r="I388" s="69"/>
    </row>
    <row r="389" spans="2:9">
      <c r="B389" s="75"/>
      <c r="C389" s="75"/>
      <c r="D389" s="75"/>
      <c r="E389" s="75"/>
      <c r="F389" s="75"/>
      <c r="G389" s="75"/>
      <c r="H389" s="69"/>
      <c r="I389" s="69"/>
    </row>
    <row r="390" spans="2:9">
      <c r="B390" s="75"/>
      <c r="C390" s="75"/>
      <c r="D390" s="75"/>
      <c r="E390" s="75"/>
      <c r="F390" s="75"/>
      <c r="G390" s="75"/>
      <c r="H390" s="69"/>
      <c r="I390" s="69"/>
    </row>
    <row r="391" spans="2:9">
      <c r="B391" s="75"/>
      <c r="C391" s="75"/>
      <c r="D391" s="75"/>
      <c r="E391" s="75"/>
      <c r="F391" s="75"/>
      <c r="G391" s="75"/>
      <c r="H391" s="69"/>
      <c r="I391" s="69"/>
    </row>
    <row r="392" spans="2:9">
      <c r="B392" s="75"/>
      <c r="C392" s="75"/>
      <c r="D392" s="75"/>
      <c r="E392" s="75"/>
      <c r="F392" s="75"/>
      <c r="G392" s="75"/>
      <c r="H392" s="69"/>
      <c r="I392" s="69"/>
    </row>
    <row r="393" spans="2:9">
      <c r="B393" s="75"/>
      <c r="C393" s="75"/>
      <c r="D393" s="75"/>
      <c r="E393" s="75"/>
      <c r="F393" s="75"/>
      <c r="G393" s="75"/>
      <c r="H393" s="69"/>
      <c r="I393" s="69"/>
    </row>
    <row r="394" spans="2:9">
      <c r="B394" s="75"/>
      <c r="C394" s="75"/>
      <c r="D394" s="75"/>
      <c r="E394" s="75"/>
      <c r="F394" s="75"/>
      <c r="G394" s="75"/>
      <c r="H394" s="69"/>
      <c r="I394" s="69"/>
    </row>
    <row r="395" spans="2:9">
      <c r="B395" s="75"/>
      <c r="C395" s="75"/>
      <c r="D395" s="75"/>
      <c r="E395" s="75"/>
      <c r="F395" s="75"/>
      <c r="G395" s="75"/>
      <c r="H395" s="69"/>
      <c r="I395" s="69"/>
    </row>
    <row r="396" spans="2:9">
      <c r="B396" s="75"/>
      <c r="C396" s="75"/>
      <c r="D396" s="75"/>
      <c r="E396" s="75"/>
      <c r="F396" s="75"/>
      <c r="G396" s="75"/>
      <c r="H396" s="69"/>
      <c r="I396" s="69"/>
    </row>
    <row r="397" spans="2:9">
      <c r="B397" s="75"/>
      <c r="C397" s="75"/>
      <c r="D397" s="75"/>
      <c r="E397" s="75"/>
      <c r="F397" s="75"/>
      <c r="G397" s="75"/>
      <c r="H397" s="69"/>
      <c r="I397" s="69"/>
    </row>
    <row r="398" spans="2:9">
      <c r="B398" s="75"/>
      <c r="C398" s="75"/>
      <c r="D398" s="75"/>
      <c r="E398" s="75"/>
      <c r="F398" s="75"/>
      <c r="G398" s="75"/>
      <c r="H398" s="69"/>
      <c r="I398" s="69"/>
    </row>
    <row r="399" spans="2:9">
      <c r="B399" s="75"/>
      <c r="C399" s="75"/>
      <c r="D399" s="75"/>
      <c r="E399" s="75"/>
      <c r="F399" s="75"/>
      <c r="G399" s="75"/>
      <c r="H399" s="69"/>
      <c r="I399" s="69"/>
    </row>
    <row r="400" spans="2:9">
      <c r="B400" s="75"/>
      <c r="C400" s="75"/>
      <c r="D400" s="75"/>
      <c r="E400" s="75"/>
      <c r="F400" s="75"/>
      <c r="G400" s="75"/>
      <c r="H400" s="69"/>
      <c r="I400" s="69"/>
    </row>
    <row r="401" spans="2:9">
      <c r="B401" s="75"/>
      <c r="C401" s="75"/>
      <c r="D401" s="75"/>
      <c r="E401" s="75"/>
      <c r="F401" s="75"/>
      <c r="G401" s="75"/>
      <c r="H401" s="69"/>
      <c r="I401" s="69"/>
    </row>
    <row r="402" spans="2:9">
      <c r="B402" s="75"/>
      <c r="C402" s="75"/>
      <c r="D402" s="75"/>
      <c r="E402" s="75"/>
      <c r="F402" s="75"/>
      <c r="G402" s="75"/>
      <c r="H402" s="69"/>
      <c r="I402" s="69"/>
    </row>
    <row r="403" spans="2:9">
      <c r="B403" s="75"/>
      <c r="C403" s="75"/>
      <c r="D403" s="75"/>
      <c r="E403" s="75"/>
      <c r="F403" s="75"/>
      <c r="G403" s="75"/>
      <c r="H403" s="69"/>
      <c r="I403" s="69"/>
    </row>
    <row r="404" spans="2:9">
      <c r="B404" s="75"/>
      <c r="C404" s="75"/>
      <c r="D404" s="75"/>
      <c r="E404" s="75"/>
      <c r="F404" s="75"/>
      <c r="G404" s="75"/>
      <c r="H404" s="69"/>
      <c r="I404" s="69"/>
    </row>
    <row r="405" spans="2:9">
      <c r="B405" s="75"/>
      <c r="C405" s="75"/>
      <c r="D405" s="75"/>
      <c r="E405" s="75"/>
      <c r="F405" s="75"/>
      <c r="G405" s="75"/>
      <c r="H405" s="69"/>
      <c r="I405" s="69"/>
    </row>
    <row r="406" spans="2:9">
      <c r="B406" s="75"/>
      <c r="C406" s="75"/>
      <c r="D406" s="75"/>
      <c r="E406" s="75"/>
      <c r="F406" s="75"/>
      <c r="G406" s="75"/>
      <c r="H406" s="69"/>
      <c r="I406" s="69"/>
    </row>
    <row r="407" spans="2:9">
      <c r="B407" s="75"/>
      <c r="C407" s="75"/>
      <c r="D407" s="75"/>
      <c r="E407" s="75"/>
      <c r="F407" s="75"/>
      <c r="G407" s="75"/>
      <c r="H407" s="69"/>
      <c r="I407" s="69"/>
    </row>
    <row r="408" spans="2:9">
      <c r="B408" s="75"/>
      <c r="C408" s="75"/>
      <c r="D408" s="75"/>
      <c r="E408" s="75"/>
      <c r="F408" s="75"/>
      <c r="G408" s="75"/>
      <c r="H408" s="69"/>
      <c r="I408" s="69"/>
    </row>
    <row r="409" spans="2:9">
      <c r="B409" s="75"/>
      <c r="C409" s="75"/>
      <c r="D409" s="75"/>
      <c r="E409" s="75"/>
      <c r="F409" s="75"/>
      <c r="G409" s="75"/>
      <c r="H409" s="69"/>
      <c r="I409" s="69"/>
    </row>
    <row r="410" spans="2:9">
      <c r="B410" s="75"/>
      <c r="C410" s="75"/>
      <c r="D410" s="75"/>
      <c r="E410" s="75"/>
      <c r="F410" s="75"/>
      <c r="G410" s="75"/>
      <c r="H410" s="69"/>
      <c r="I410" s="69"/>
    </row>
    <row r="411" spans="2:9">
      <c r="B411" s="75"/>
      <c r="C411" s="75"/>
      <c r="D411" s="75"/>
      <c r="E411" s="75"/>
      <c r="F411" s="75"/>
      <c r="G411" s="75"/>
      <c r="H411" s="69"/>
      <c r="I411" s="69"/>
    </row>
    <row r="412" spans="2:9">
      <c r="B412" s="75"/>
      <c r="C412" s="75"/>
      <c r="D412" s="75"/>
      <c r="E412" s="75"/>
      <c r="F412" s="75"/>
      <c r="G412" s="75"/>
      <c r="H412" s="69"/>
      <c r="I412" s="69"/>
    </row>
    <row r="413" spans="2:9">
      <c r="B413" s="75"/>
      <c r="C413" s="75"/>
      <c r="D413" s="75"/>
      <c r="E413" s="75"/>
      <c r="F413" s="75"/>
      <c r="G413" s="75"/>
      <c r="H413" s="69"/>
      <c r="I413" s="69"/>
    </row>
    <row r="414" spans="2:9">
      <c r="B414" s="75"/>
      <c r="C414" s="75"/>
      <c r="D414" s="75"/>
      <c r="E414" s="75"/>
      <c r="F414" s="75"/>
      <c r="G414" s="75"/>
      <c r="H414" s="69"/>
      <c r="I414" s="69"/>
    </row>
    <row r="415" spans="2:9">
      <c r="B415" s="75"/>
      <c r="C415" s="75"/>
      <c r="D415" s="75"/>
      <c r="E415" s="75"/>
      <c r="F415" s="75"/>
      <c r="G415" s="75"/>
      <c r="H415" s="69"/>
      <c r="I415" s="69"/>
    </row>
    <row r="416" spans="2:9">
      <c r="B416" s="75"/>
      <c r="C416" s="75"/>
      <c r="D416" s="75"/>
      <c r="E416" s="75"/>
      <c r="F416" s="75"/>
      <c r="G416" s="75"/>
      <c r="H416" s="69"/>
      <c r="I416" s="69"/>
    </row>
    <row r="417" spans="2:9">
      <c r="B417" s="75"/>
      <c r="C417" s="75"/>
      <c r="D417" s="75"/>
      <c r="E417" s="75"/>
      <c r="F417" s="75"/>
      <c r="G417" s="75"/>
      <c r="H417" s="69"/>
      <c r="I417" s="69"/>
    </row>
    <row r="418" spans="2:9">
      <c r="B418" s="75"/>
      <c r="C418" s="75"/>
      <c r="D418" s="75"/>
      <c r="E418" s="75"/>
      <c r="F418" s="75"/>
      <c r="G418" s="75"/>
      <c r="H418" s="69"/>
      <c r="I418" s="69"/>
    </row>
    <row r="419" spans="2:9">
      <c r="B419" s="75"/>
      <c r="C419" s="75"/>
      <c r="D419" s="75"/>
      <c r="E419" s="75"/>
      <c r="F419" s="75"/>
      <c r="G419" s="75"/>
      <c r="H419" s="69"/>
      <c r="I419" s="69"/>
    </row>
    <row r="420" spans="2:9">
      <c r="B420" s="75"/>
      <c r="C420" s="75"/>
      <c r="D420" s="75"/>
      <c r="E420" s="75"/>
      <c r="F420" s="75"/>
      <c r="G420" s="75"/>
      <c r="H420" s="69"/>
      <c r="I420" s="69"/>
    </row>
    <row r="421" spans="2:9">
      <c r="B421" s="75"/>
      <c r="C421" s="75"/>
      <c r="D421" s="75"/>
      <c r="E421" s="75"/>
      <c r="F421" s="75"/>
      <c r="G421" s="75"/>
      <c r="H421" s="69"/>
      <c r="I421" s="69"/>
    </row>
    <row r="422" spans="2:9">
      <c r="B422" s="75"/>
      <c r="C422" s="75"/>
      <c r="D422" s="75"/>
      <c r="E422" s="75"/>
      <c r="F422" s="75"/>
      <c r="G422" s="75"/>
      <c r="H422" s="69"/>
      <c r="I422" s="69"/>
    </row>
    <row r="423" spans="2:9">
      <c r="B423" s="75"/>
      <c r="C423" s="75"/>
      <c r="D423" s="75"/>
      <c r="E423" s="75"/>
      <c r="F423" s="75"/>
      <c r="G423" s="75"/>
      <c r="H423" s="69"/>
      <c r="I423" s="69"/>
    </row>
    <row r="424" spans="2:9">
      <c r="B424" s="75"/>
      <c r="C424" s="75"/>
      <c r="D424" s="75"/>
      <c r="E424" s="75"/>
      <c r="F424" s="75"/>
      <c r="G424" s="75"/>
      <c r="H424" s="69"/>
      <c r="I424" s="69"/>
    </row>
    <row r="425" spans="2:9">
      <c r="B425" s="75"/>
      <c r="C425" s="75"/>
      <c r="D425" s="75"/>
      <c r="E425" s="75"/>
      <c r="F425" s="75"/>
      <c r="G425" s="75"/>
      <c r="H425" s="69"/>
      <c r="I425" s="69"/>
    </row>
    <row r="426" spans="2:9">
      <c r="B426" s="75"/>
      <c r="C426" s="75"/>
      <c r="D426" s="75"/>
      <c r="E426" s="75"/>
      <c r="F426" s="75"/>
      <c r="G426" s="75"/>
      <c r="H426" s="69"/>
      <c r="I426" s="69"/>
    </row>
    <row r="427" spans="2:9">
      <c r="B427" s="75"/>
      <c r="C427" s="75"/>
      <c r="D427" s="75"/>
      <c r="E427" s="75"/>
      <c r="F427" s="75"/>
      <c r="G427" s="75"/>
      <c r="H427" s="69"/>
      <c r="I427" s="69"/>
    </row>
    <row r="428" spans="2:9">
      <c r="B428" s="75"/>
      <c r="C428" s="75"/>
      <c r="D428" s="75"/>
      <c r="E428" s="75"/>
      <c r="F428" s="75"/>
      <c r="G428" s="75"/>
      <c r="H428" s="69"/>
      <c r="I428" s="69"/>
    </row>
    <row r="429" spans="2:9">
      <c r="B429" s="75"/>
      <c r="C429" s="75"/>
      <c r="D429" s="75"/>
      <c r="E429" s="75"/>
      <c r="F429" s="75"/>
      <c r="G429" s="75"/>
      <c r="H429" s="69"/>
      <c r="I429" s="69"/>
    </row>
    <row r="430" spans="2:9">
      <c r="B430" s="75"/>
      <c r="C430" s="75"/>
      <c r="D430" s="75"/>
      <c r="E430" s="75"/>
      <c r="F430" s="75"/>
      <c r="G430" s="75"/>
      <c r="H430" s="69"/>
      <c r="I430" s="69"/>
    </row>
    <row r="431" spans="2:9">
      <c r="B431" s="75"/>
      <c r="C431" s="75"/>
      <c r="D431" s="75"/>
      <c r="E431" s="75"/>
      <c r="F431" s="75"/>
      <c r="G431" s="75"/>
      <c r="H431" s="69"/>
      <c r="I431" s="69"/>
    </row>
    <row r="432" spans="2:9">
      <c r="B432" s="75"/>
      <c r="C432" s="75"/>
      <c r="D432" s="75"/>
      <c r="E432" s="75"/>
      <c r="F432" s="75"/>
      <c r="G432" s="75"/>
      <c r="H432" s="69"/>
      <c r="I432" s="69"/>
    </row>
    <row r="433" spans="2:9">
      <c r="B433" s="75"/>
      <c r="C433" s="75"/>
      <c r="D433" s="75"/>
      <c r="E433" s="75"/>
      <c r="F433" s="75"/>
      <c r="G433" s="75"/>
      <c r="H433" s="69"/>
      <c r="I433" s="69"/>
    </row>
    <row r="434" spans="2:9">
      <c r="B434" s="75"/>
      <c r="C434" s="75"/>
      <c r="D434" s="75"/>
      <c r="E434" s="75"/>
      <c r="F434" s="75"/>
      <c r="G434" s="75"/>
      <c r="H434" s="69"/>
      <c r="I434" s="69"/>
    </row>
    <row r="435" spans="2:9">
      <c r="B435" s="75"/>
      <c r="C435" s="75"/>
      <c r="D435" s="75"/>
      <c r="E435" s="75"/>
      <c r="F435" s="75"/>
      <c r="G435" s="75"/>
      <c r="H435" s="69"/>
      <c r="I435" s="69"/>
    </row>
    <row r="436" spans="2:9">
      <c r="B436" s="75"/>
      <c r="C436" s="75"/>
      <c r="D436" s="75"/>
      <c r="E436" s="75"/>
      <c r="F436" s="75"/>
      <c r="G436" s="75"/>
      <c r="H436" s="69"/>
      <c r="I436" s="69"/>
    </row>
    <row r="437" spans="2:9">
      <c r="B437" s="75"/>
      <c r="C437" s="75"/>
      <c r="D437" s="75"/>
      <c r="E437" s="75"/>
      <c r="F437" s="75"/>
      <c r="G437" s="75"/>
      <c r="H437" s="69"/>
      <c r="I437" s="69"/>
    </row>
    <row r="438" spans="2:9">
      <c r="B438" s="75"/>
      <c r="C438" s="75"/>
      <c r="D438" s="75"/>
      <c r="E438" s="75"/>
      <c r="F438" s="75"/>
      <c r="G438" s="75"/>
      <c r="H438" s="69"/>
      <c r="I438" s="69"/>
    </row>
    <row r="439" spans="2:9">
      <c r="B439" s="75"/>
      <c r="C439" s="75"/>
      <c r="D439" s="75"/>
      <c r="E439" s="75"/>
      <c r="F439" s="75"/>
      <c r="G439" s="75"/>
      <c r="H439" s="69"/>
      <c r="I439" s="69"/>
    </row>
    <row r="440" spans="2:9">
      <c r="B440" s="75"/>
      <c r="C440" s="75"/>
      <c r="D440" s="75"/>
      <c r="E440" s="75"/>
      <c r="F440" s="75"/>
      <c r="G440" s="75"/>
      <c r="H440" s="69"/>
      <c r="I440" s="69"/>
    </row>
    <row r="441" spans="2:9">
      <c r="B441" s="75"/>
      <c r="C441" s="75"/>
      <c r="D441" s="75"/>
      <c r="E441" s="75"/>
      <c r="F441" s="75"/>
      <c r="G441" s="75"/>
      <c r="H441" s="69"/>
      <c r="I441" s="69"/>
    </row>
    <row r="442" spans="2:9">
      <c r="B442" s="75"/>
      <c r="C442" s="75"/>
      <c r="D442" s="75"/>
      <c r="E442" s="75"/>
      <c r="F442" s="75"/>
      <c r="G442" s="75"/>
      <c r="H442" s="69"/>
      <c r="I442" s="69"/>
    </row>
    <row r="443" spans="2:9">
      <c r="B443" s="75"/>
      <c r="C443" s="75"/>
      <c r="D443" s="75"/>
      <c r="E443" s="75"/>
      <c r="F443" s="75"/>
      <c r="G443" s="75"/>
      <c r="H443" s="69"/>
      <c r="I443" s="69"/>
    </row>
    <row r="444" spans="2:9">
      <c r="B444" s="75"/>
      <c r="C444" s="75"/>
      <c r="D444" s="75"/>
      <c r="E444" s="75"/>
      <c r="F444" s="75"/>
      <c r="G444" s="75"/>
      <c r="H444" s="69"/>
      <c r="I444" s="69"/>
    </row>
    <row r="445" spans="2:9">
      <c r="B445" s="75"/>
      <c r="C445" s="75"/>
      <c r="D445" s="75"/>
      <c r="E445" s="75"/>
      <c r="F445" s="75"/>
      <c r="G445" s="75"/>
      <c r="H445" s="69"/>
      <c r="I445" s="69"/>
    </row>
    <row r="446" spans="2:9">
      <c r="B446" s="75"/>
      <c r="C446" s="75"/>
      <c r="D446" s="75"/>
      <c r="E446" s="75"/>
      <c r="F446" s="75"/>
      <c r="G446" s="75"/>
      <c r="H446" s="69"/>
      <c r="I446" s="69"/>
    </row>
    <row r="447" spans="2:9">
      <c r="B447" s="75"/>
      <c r="C447" s="75"/>
      <c r="D447" s="75"/>
      <c r="E447" s="75"/>
      <c r="F447" s="75"/>
      <c r="G447" s="75"/>
      <c r="H447" s="69"/>
      <c r="I447" s="69"/>
    </row>
    <row r="448" spans="2:9">
      <c r="B448" s="75"/>
      <c r="C448" s="75"/>
      <c r="D448" s="75"/>
      <c r="E448" s="75"/>
      <c r="F448" s="75"/>
      <c r="G448" s="75"/>
      <c r="H448" s="69"/>
      <c r="I448" s="69"/>
    </row>
    <row r="449" spans="2:9">
      <c r="B449" s="75"/>
      <c r="C449" s="75"/>
      <c r="D449" s="75"/>
      <c r="E449" s="75"/>
      <c r="F449" s="75"/>
      <c r="G449" s="75"/>
      <c r="H449" s="69"/>
      <c r="I449" s="69"/>
    </row>
    <row r="450" spans="2:9">
      <c r="B450" s="75"/>
      <c r="C450" s="75"/>
      <c r="D450" s="75"/>
      <c r="E450" s="75"/>
      <c r="F450" s="75"/>
      <c r="G450" s="75"/>
      <c r="H450" s="69"/>
      <c r="I450" s="69"/>
    </row>
    <row r="451" spans="2:9">
      <c r="B451" s="75"/>
      <c r="C451" s="75"/>
      <c r="D451" s="75"/>
      <c r="E451" s="75"/>
      <c r="F451" s="75"/>
      <c r="G451" s="75"/>
      <c r="H451" s="69"/>
      <c r="I451" s="69"/>
    </row>
    <row r="452" spans="2:9">
      <c r="B452" s="75"/>
      <c r="C452" s="75"/>
      <c r="D452" s="75"/>
      <c r="E452" s="75"/>
      <c r="F452" s="75"/>
      <c r="G452" s="75"/>
      <c r="H452" s="69"/>
      <c r="I452" s="69"/>
    </row>
    <row r="453" spans="2:9">
      <c r="B453" s="75"/>
      <c r="C453" s="75"/>
      <c r="D453" s="75"/>
      <c r="E453" s="75"/>
      <c r="F453" s="75"/>
      <c r="G453" s="75"/>
      <c r="H453" s="69"/>
      <c r="I453" s="69"/>
    </row>
    <row r="454" spans="2:9">
      <c r="B454" s="75"/>
      <c r="C454" s="75"/>
      <c r="D454" s="75"/>
      <c r="E454" s="75"/>
      <c r="F454" s="75"/>
      <c r="G454" s="75"/>
      <c r="H454" s="69"/>
      <c r="I454" s="69"/>
    </row>
    <row r="455" spans="2:9">
      <c r="B455" s="75"/>
      <c r="C455" s="75"/>
      <c r="D455" s="75"/>
      <c r="E455" s="75"/>
      <c r="F455" s="75"/>
      <c r="G455" s="75"/>
      <c r="H455" s="69"/>
      <c r="I455" s="69"/>
    </row>
    <row r="456" spans="2:9">
      <c r="B456" s="75"/>
      <c r="C456" s="75"/>
      <c r="D456" s="75"/>
      <c r="E456" s="75"/>
      <c r="F456" s="75"/>
      <c r="G456" s="75"/>
      <c r="H456" s="69"/>
      <c r="I456" s="69"/>
    </row>
    <row r="457" spans="2:9">
      <c r="B457" s="75"/>
      <c r="C457" s="75"/>
      <c r="D457" s="75"/>
      <c r="E457" s="75"/>
      <c r="F457" s="75"/>
      <c r="G457" s="75"/>
      <c r="H457" s="69"/>
      <c r="I457" s="69"/>
    </row>
    <row r="458" spans="2:9">
      <c r="B458" s="75"/>
      <c r="C458" s="75"/>
      <c r="D458" s="75"/>
      <c r="E458" s="75"/>
      <c r="F458" s="75"/>
      <c r="G458" s="75"/>
      <c r="H458" s="69"/>
      <c r="I458" s="69"/>
    </row>
    <row r="459" spans="2:9">
      <c r="B459" s="75"/>
      <c r="C459" s="75"/>
      <c r="D459" s="75"/>
      <c r="E459" s="75"/>
      <c r="F459" s="75"/>
      <c r="G459" s="75"/>
      <c r="H459" s="69"/>
      <c r="I459" s="69"/>
    </row>
    <row r="460" spans="2:9">
      <c r="B460" s="75"/>
      <c r="C460" s="75"/>
      <c r="D460" s="75"/>
      <c r="E460" s="75"/>
      <c r="F460" s="75"/>
      <c r="G460" s="75"/>
      <c r="H460" s="69"/>
      <c r="I460" s="69"/>
    </row>
    <row r="461" spans="2:9">
      <c r="B461" s="75"/>
      <c r="C461" s="75"/>
      <c r="D461" s="75"/>
      <c r="E461" s="75"/>
      <c r="F461" s="75"/>
      <c r="G461" s="75"/>
      <c r="H461" s="69"/>
      <c r="I461" s="69"/>
    </row>
    <row r="462" spans="2:9">
      <c r="B462" s="75"/>
      <c r="C462" s="75"/>
      <c r="D462" s="75"/>
      <c r="E462" s="75"/>
      <c r="F462" s="75"/>
      <c r="G462" s="75"/>
      <c r="H462" s="69"/>
      <c r="I462" s="69"/>
    </row>
    <row r="463" spans="2:9">
      <c r="B463" s="75"/>
      <c r="C463" s="75"/>
      <c r="D463" s="75"/>
      <c r="E463" s="75"/>
      <c r="F463" s="75"/>
      <c r="G463" s="75"/>
      <c r="H463" s="69"/>
      <c r="I463" s="69"/>
    </row>
    <row r="464" spans="2:9">
      <c r="B464" s="75"/>
      <c r="C464" s="75"/>
      <c r="D464" s="75"/>
      <c r="E464" s="75"/>
      <c r="F464" s="75"/>
      <c r="G464" s="75"/>
      <c r="H464" s="69"/>
      <c r="I464" s="69"/>
    </row>
    <row r="465" spans="2:9">
      <c r="B465" s="75"/>
      <c r="C465" s="75"/>
      <c r="D465" s="75"/>
      <c r="E465" s="75"/>
      <c r="F465" s="75"/>
      <c r="G465" s="75"/>
      <c r="H465" s="69"/>
      <c r="I465" s="69"/>
    </row>
    <row r="466" spans="2:9">
      <c r="B466" s="75"/>
      <c r="C466" s="75"/>
      <c r="D466" s="75"/>
      <c r="E466" s="75"/>
      <c r="F466" s="75"/>
      <c r="G466" s="75"/>
      <c r="H466" s="69"/>
      <c r="I466" s="69"/>
    </row>
    <row r="467" spans="2:9">
      <c r="B467" s="75"/>
      <c r="C467" s="75"/>
      <c r="D467" s="75"/>
      <c r="E467" s="75"/>
      <c r="F467" s="75"/>
      <c r="G467" s="75"/>
      <c r="H467" s="69"/>
      <c r="I467" s="69"/>
    </row>
    <row r="468" spans="2:9">
      <c r="B468" s="75"/>
      <c r="C468" s="75"/>
      <c r="D468" s="75"/>
      <c r="E468" s="75"/>
      <c r="F468" s="75"/>
      <c r="G468" s="75"/>
      <c r="H468" s="69"/>
      <c r="I468" s="69"/>
    </row>
    <row r="469" spans="2:9">
      <c r="B469" s="75"/>
      <c r="C469" s="75"/>
      <c r="D469" s="75"/>
      <c r="E469" s="75"/>
      <c r="F469" s="75"/>
      <c r="G469" s="75"/>
      <c r="H469" s="69"/>
      <c r="I469" s="69"/>
    </row>
    <row r="470" spans="2:9">
      <c r="B470" s="75"/>
      <c r="C470" s="75"/>
      <c r="D470" s="75"/>
      <c r="E470" s="75"/>
      <c r="F470" s="75"/>
      <c r="G470" s="75"/>
      <c r="H470" s="69"/>
      <c r="I470" s="69"/>
    </row>
    <row r="471" spans="2:9">
      <c r="B471" s="75"/>
      <c r="C471" s="75"/>
      <c r="D471" s="75"/>
      <c r="E471" s="75"/>
      <c r="F471" s="75"/>
      <c r="G471" s="75"/>
      <c r="H471" s="69"/>
      <c r="I471" s="69"/>
    </row>
    <row r="472" spans="2:9">
      <c r="B472" s="75"/>
      <c r="C472" s="75"/>
      <c r="D472" s="75"/>
      <c r="E472" s="75"/>
      <c r="F472" s="75"/>
      <c r="G472" s="75"/>
      <c r="H472" s="69"/>
      <c r="I472" s="69"/>
    </row>
    <row r="473" spans="2:9">
      <c r="B473" s="75"/>
      <c r="C473" s="75"/>
      <c r="D473" s="75"/>
      <c r="E473" s="75"/>
      <c r="F473" s="75"/>
      <c r="G473" s="75"/>
      <c r="H473" s="69"/>
      <c r="I473" s="69"/>
    </row>
    <row r="474" spans="2:9">
      <c r="B474" s="75"/>
      <c r="C474" s="75"/>
      <c r="D474" s="75"/>
      <c r="E474" s="75"/>
      <c r="F474" s="75"/>
      <c r="G474" s="75"/>
      <c r="H474" s="69"/>
      <c r="I474" s="69"/>
    </row>
    <row r="475" spans="2:9">
      <c r="B475" s="75"/>
      <c r="C475" s="75"/>
      <c r="D475" s="75"/>
      <c r="E475" s="75"/>
      <c r="F475" s="75"/>
      <c r="G475" s="75"/>
      <c r="H475" s="69"/>
      <c r="I475" s="69"/>
    </row>
    <row r="476" spans="2:9">
      <c r="B476" s="75"/>
      <c r="C476" s="75"/>
      <c r="D476" s="75"/>
      <c r="E476" s="75"/>
      <c r="F476" s="75"/>
      <c r="G476" s="75"/>
      <c r="H476" s="69"/>
      <c r="I476" s="69"/>
    </row>
    <row r="477" spans="2:9">
      <c r="B477" s="75"/>
      <c r="C477" s="75"/>
      <c r="D477" s="75"/>
      <c r="E477" s="75"/>
      <c r="F477" s="75"/>
      <c r="G477" s="75"/>
      <c r="H477" s="69"/>
      <c r="I477" s="69"/>
    </row>
    <row r="478" spans="2:9">
      <c r="B478" s="75"/>
      <c r="C478" s="75"/>
      <c r="D478" s="75"/>
      <c r="E478" s="75"/>
      <c r="F478" s="75"/>
      <c r="G478" s="75"/>
      <c r="H478" s="69"/>
      <c r="I478" s="69"/>
    </row>
    <row r="479" spans="2:9">
      <c r="B479" s="75"/>
      <c r="C479" s="75"/>
      <c r="D479" s="75"/>
      <c r="E479" s="75"/>
      <c r="F479" s="75"/>
      <c r="G479" s="75"/>
      <c r="H479" s="69"/>
      <c r="I479" s="69"/>
    </row>
    <row r="480" spans="2:9">
      <c r="B480" s="75"/>
      <c r="C480" s="75"/>
      <c r="D480" s="75"/>
      <c r="E480" s="75"/>
      <c r="F480" s="75"/>
      <c r="G480" s="75"/>
      <c r="H480" s="69"/>
      <c r="I480" s="69"/>
    </row>
    <row r="481" spans="2:9">
      <c r="B481" s="75"/>
      <c r="C481" s="75"/>
      <c r="D481" s="75"/>
      <c r="E481" s="75"/>
      <c r="F481" s="75"/>
      <c r="G481" s="75"/>
      <c r="H481" s="69"/>
      <c r="I481" s="69"/>
    </row>
    <row r="482" spans="2:9">
      <c r="B482" s="75"/>
      <c r="C482" s="75"/>
      <c r="D482" s="75"/>
      <c r="E482" s="75"/>
      <c r="F482" s="75"/>
      <c r="G482" s="75"/>
      <c r="H482" s="69"/>
      <c r="I482" s="69"/>
    </row>
    <row r="483" spans="2:9">
      <c r="B483" s="75"/>
      <c r="C483" s="75"/>
      <c r="D483" s="75"/>
      <c r="E483" s="75"/>
      <c r="F483" s="75"/>
      <c r="G483" s="75"/>
      <c r="H483" s="69"/>
      <c r="I483" s="69"/>
    </row>
    <row r="484" spans="2:9">
      <c r="B484" s="75"/>
      <c r="C484" s="75"/>
      <c r="D484" s="75"/>
      <c r="E484" s="75"/>
      <c r="F484" s="75"/>
      <c r="G484" s="75"/>
      <c r="H484" s="69"/>
      <c r="I484" s="69"/>
    </row>
    <row r="485" spans="2:9">
      <c r="B485" s="75"/>
      <c r="C485" s="75"/>
      <c r="D485" s="75"/>
      <c r="E485" s="75"/>
      <c r="F485" s="75"/>
      <c r="G485" s="75"/>
      <c r="H485" s="69"/>
      <c r="I485" s="69"/>
    </row>
    <row r="486" spans="2:9">
      <c r="B486" s="75"/>
      <c r="C486" s="75"/>
      <c r="D486" s="75"/>
      <c r="E486" s="75"/>
      <c r="F486" s="75"/>
      <c r="G486" s="75"/>
      <c r="H486" s="69"/>
      <c r="I486" s="69"/>
    </row>
    <row r="487" spans="2:9">
      <c r="B487" s="75"/>
      <c r="C487" s="75"/>
      <c r="D487" s="75"/>
      <c r="E487" s="75"/>
      <c r="F487" s="75"/>
      <c r="G487" s="75"/>
      <c r="H487" s="69"/>
      <c r="I487" s="69"/>
    </row>
    <row r="488" spans="2:9">
      <c r="B488" s="75"/>
      <c r="C488" s="75"/>
      <c r="D488" s="75"/>
      <c r="E488" s="75"/>
      <c r="F488" s="75"/>
      <c r="G488" s="75"/>
      <c r="H488" s="69"/>
      <c r="I488" s="69"/>
    </row>
    <row r="489" spans="2:9">
      <c r="B489" s="75"/>
      <c r="C489" s="75"/>
      <c r="D489" s="75"/>
      <c r="E489" s="75"/>
      <c r="F489" s="75"/>
      <c r="G489" s="75"/>
      <c r="H489" s="69"/>
      <c r="I489" s="69"/>
    </row>
    <row r="490" spans="2:9">
      <c r="B490" s="75"/>
      <c r="C490" s="75"/>
      <c r="D490" s="75"/>
      <c r="E490" s="75"/>
      <c r="F490" s="75"/>
      <c r="G490" s="75"/>
      <c r="H490" s="69"/>
      <c r="I490" s="69"/>
    </row>
    <row r="491" spans="2:9">
      <c r="B491" s="75"/>
      <c r="C491" s="75"/>
      <c r="D491" s="75"/>
      <c r="E491" s="75"/>
      <c r="F491" s="75"/>
      <c r="G491" s="75"/>
      <c r="H491" s="69"/>
      <c r="I491" s="69"/>
    </row>
    <row r="492" spans="2:9">
      <c r="B492" s="75"/>
      <c r="C492" s="75"/>
      <c r="D492" s="75"/>
      <c r="E492" s="75"/>
      <c r="F492" s="75"/>
      <c r="G492" s="75"/>
      <c r="H492" s="69"/>
      <c r="I492" s="69"/>
    </row>
    <row r="493" spans="2:9">
      <c r="B493" s="75"/>
      <c r="C493" s="75"/>
      <c r="D493" s="75"/>
      <c r="E493" s="75"/>
      <c r="F493" s="75"/>
      <c r="G493" s="75"/>
      <c r="H493" s="69"/>
      <c r="I493" s="69"/>
    </row>
    <row r="494" spans="2:9">
      <c r="B494" s="75"/>
      <c r="C494" s="75"/>
      <c r="D494" s="75"/>
      <c r="E494" s="75"/>
      <c r="F494" s="75"/>
      <c r="G494" s="75"/>
      <c r="H494" s="69"/>
      <c r="I494" s="69"/>
    </row>
    <row r="495" spans="2:9">
      <c r="B495" s="75"/>
      <c r="C495" s="75"/>
      <c r="D495" s="75"/>
      <c r="E495" s="75"/>
      <c r="F495" s="75"/>
      <c r="G495" s="75"/>
      <c r="H495" s="69"/>
      <c r="I495" s="69"/>
    </row>
    <row r="496" spans="2:9">
      <c r="B496" s="75"/>
      <c r="C496" s="75"/>
      <c r="D496" s="75"/>
      <c r="E496" s="75"/>
      <c r="F496" s="75"/>
      <c r="G496" s="75"/>
      <c r="H496" s="69"/>
      <c r="I496" s="69"/>
    </row>
    <row r="497" spans="2:9">
      <c r="B497" s="75"/>
      <c r="C497" s="75"/>
      <c r="D497" s="75"/>
      <c r="E497" s="75"/>
      <c r="F497" s="75"/>
      <c r="G497" s="75"/>
      <c r="H497" s="69"/>
      <c r="I497" s="69"/>
    </row>
    <row r="498" spans="2:9">
      <c r="B498" s="75"/>
      <c r="C498" s="75"/>
      <c r="D498" s="75"/>
      <c r="E498" s="75"/>
      <c r="F498" s="75"/>
      <c r="G498" s="75"/>
      <c r="H498" s="69"/>
      <c r="I498" s="69"/>
    </row>
    <row r="499" spans="2:9">
      <c r="B499" s="75"/>
      <c r="C499" s="75"/>
      <c r="D499" s="75"/>
      <c r="E499" s="75"/>
      <c r="F499" s="75"/>
      <c r="G499" s="75"/>
      <c r="H499" s="69"/>
      <c r="I499" s="69"/>
    </row>
    <row r="500" spans="2:9">
      <c r="B500" s="75"/>
      <c r="C500" s="75"/>
      <c r="D500" s="75"/>
      <c r="E500" s="75"/>
      <c r="F500" s="75"/>
      <c r="G500" s="75"/>
      <c r="H500" s="69"/>
      <c r="I500" s="69"/>
    </row>
    <row r="501" spans="2:9">
      <c r="B501" s="75"/>
      <c r="C501" s="75"/>
      <c r="D501" s="75"/>
      <c r="E501" s="75"/>
      <c r="F501" s="75"/>
      <c r="G501" s="75"/>
      <c r="H501" s="69"/>
      <c r="I501" s="69"/>
    </row>
    <row r="502" spans="2:9">
      <c r="B502" s="75"/>
      <c r="C502" s="75"/>
      <c r="D502" s="75"/>
      <c r="E502" s="75"/>
      <c r="F502" s="75"/>
      <c r="G502" s="75"/>
      <c r="H502" s="69"/>
      <c r="I502" s="69"/>
    </row>
    <row r="503" spans="2:9">
      <c r="B503" s="75"/>
      <c r="C503" s="75"/>
      <c r="D503" s="75"/>
      <c r="E503" s="75"/>
      <c r="F503" s="75"/>
      <c r="G503" s="75"/>
      <c r="H503" s="69"/>
      <c r="I503" s="69"/>
    </row>
    <row r="504" spans="2:9">
      <c r="B504" s="75"/>
      <c r="C504" s="75"/>
      <c r="D504" s="75"/>
      <c r="E504" s="75"/>
      <c r="F504" s="75"/>
      <c r="G504" s="75"/>
      <c r="H504" s="69"/>
      <c r="I504" s="69"/>
    </row>
    <row r="505" spans="2:9">
      <c r="B505" s="75"/>
      <c r="C505" s="75"/>
      <c r="D505" s="75"/>
      <c r="E505" s="75"/>
      <c r="F505" s="75"/>
      <c r="G505" s="75"/>
      <c r="H505" s="69"/>
      <c r="I505" s="69"/>
    </row>
    <row r="506" spans="2:9">
      <c r="B506" s="75"/>
      <c r="C506" s="75"/>
      <c r="D506" s="75"/>
      <c r="E506" s="75"/>
      <c r="F506" s="75"/>
      <c r="G506" s="75"/>
      <c r="H506" s="69"/>
      <c r="I506" s="69"/>
    </row>
    <row r="507" spans="2:9">
      <c r="B507" s="75"/>
      <c r="C507" s="75"/>
      <c r="D507" s="75"/>
      <c r="E507" s="75"/>
      <c r="F507" s="75"/>
      <c r="G507" s="75"/>
      <c r="H507" s="69"/>
      <c r="I507" s="69"/>
    </row>
    <row r="508" spans="2:9">
      <c r="B508" s="75"/>
      <c r="C508" s="75"/>
      <c r="D508" s="75"/>
      <c r="E508" s="75"/>
      <c r="F508" s="75"/>
      <c r="G508" s="75"/>
      <c r="H508" s="69"/>
      <c r="I508" s="69"/>
    </row>
    <row r="509" spans="2:9">
      <c r="B509" s="75"/>
      <c r="C509" s="75"/>
      <c r="D509" s="75"/>
      <c r="E509" s="75"/>
      <c r="F509" s="75"/>
      <c r="G509" s="75"/>
      <c r="H509" s="69"/>
      <c r="I509" s="69"/>
    </row>
    <row r="510" spans="2:9">
      <c r="B510" s="75"/>
      <c r="C510" s="75"/>
      <c r="D510" s="75"/>
      <c r="E510" s="75"/>
      <c r="F510" s="75"/>
      <c r="G510" s="75"/>
      <c r="H510" s="69"/>
      <c r="I510" s="69"/>
    </row>
    <row r="511" spans="2:9">
      <c r="B511" s="75"/>
      <c r="C511" s="75"/>
      <c r="D511" s="75"/>
      <c r="E511" s="75"/>
      <c r="F511" s="75"/>
      <c r="G511" s="75"/>
      <c r="H511" s="69"/>
      <c r="I511" s="69"/>
    </row>
    <row r="512" spans="2:9">
      <c r="B512" s="75"/>
      <c r="C512" s="75"/>
      <c r="D512" s="75"/>
      <c r="E512" s="75"/>
      <c r="F512" s="75"/>
      <c r="G512" s="75"/>
      <c r="H512" s="69"/>
      <c r="I512" s="69"/>
    </row>
    <row r="513" spans="2:9">
      <c r="B513" s="75"/>
      <c r="C513" s="75"/>
      <c r="D513" s="75"/>
      <c r="E513" s="75"/>
      <c r="F513" s="75"/>
      <c r="G513" s="75"/>
      <c r="H513" s="69"/>
      <c r="I513" s="69"/>
    </row>
    <row r="514" spans="2:9">
      <c r="B514" s="75"/>
      <c r="C514" s="75"/>
      <c r="D514" s="75"/>
      <c r="E514" s="75"/>
      <c r="F514" s="75"/>
      <c r="G514" s="75"/>
      <c r="H514" s="69"/>
      <c r="I514" s="69"/>
    </row>
    <row r="515" spans="2:9">
      <c r="B515" s="75"/>
      <c r="C515" s="75"/>
      <c r="D515" s="75"/>
      <c r="E515" s="75"/>
      <c r="F515" s="75"/>
      <c r="G515" s="75"/>
      <c r="H515" s="69"/>
      <c r="I515" s="69"/>
    </row>
    <row r="516" spans="2:9">
      <c r="B516" s="75"/>
      <c r="C516" s="75"/>
      <c r="D516" s="75"/>
      <c r="E516" s="75"/>
      <c r="F516" s="75"/>
      <c r="G516" s="75"/>
      <c r="H516" s="69"/>
      <c r="I516" s="69"/>
    </row>
    <row r="517" spans="2:9">
      <c r="B517" s="75"/>
      <c r="C517" s="75"/>
      <c r="D517" s="75"/>
      <c r="E517" s="75"/>
      <c r="F517" s="75"/>
      <c r="G517" s="75"/>
      <c r="H517" s="69"/>
      <c r="I517" s="69"/>
    </row>
    <row r="518" spans="2:9">
      <c r="B518" s="75"/>
      <c r="C518" s="75"/>
      <c r="D518" s="75"/>
      <c r="E518" s="75"/>
      <c r="F518" s="75"/>
      <c r="G518" s="75"/>
      <c r="H518" s="69"/>
      <c r="I518" s="69"/>
    </row>
    <row r="519" spans="2:9">
      <c r="B519" s="75"/>
      <c r="C519" s="75"/>
      <c r="D519" s="75"/>
      <c r="E519" s="75"/>
      <c r="F519" s="75"/>
      <c r="G519" s="75"/>
      <c r="H519" s="69"/>
      <c r="I519" s="69"/>
    </row>
    <row r="520" spans="2:9">
      <c r="B520" s="75"/>
      <c r="C520" s="75"/>
      <c r="D520" s="75"/>
      <c r="E520" s="75"/>
      <c r="F520" s="75"/>
      <c r="G520" s="75"/>
      <c r="H520" s="69"/>
      <c r="I520" s="69"/>
    </row>
    <row r="521" spans="2:9">
      <c r="B521" s="75"/>
      <c r="C521" s="75"/>
      <c r="D521" s="75"/>
      <c r="E521" s="75"/>
      <c r="F521" s="75"/>
      <c r="G521" s="75"/>
      <c r="H521" s="69"/>
      <c r="I521" s="69"/>
    </row>
    <row r="522" spans="2:9">
      <c r="B522" s="75"/>
      <c r="C522" s="75"/>
      <c r="D522" s="75"/>
      <c r="E522" s="75"/>
      <c r="F522" s="75"/>
      <c r="G522" s="75"/>
      <c r="H522" s="69"/>
      <c r="I522" s="69"/>
    </row>
    <row r="523" spans="2:9">
      <c r="B523" s="75"/>
      <c r="C523" s="75"/>
      <c r="D523" s="75"/>
      <c r="E523" s="75"/>
      <c r="F523" s="75"/>
      <c r="G523" s="75"/>
      <c r="H523" s="69"/>
      <c r="I523" s="69"/>
    </row>
    <row r="524" spans="2:9">
      <c r="B524" s="75"/>
      <c r="C524" s="75"/>
      <c r="D524" s="75"/>
      <c r="E524" s="75"/>
      <c r="F524" s="75"/>
      <c r="G524" s="75"/>
      <c r="H524" s="69"/>
      <c r="I524" s="69"/>
    </row>
    <row r="525" spans="2:9">
      <c r="B525" s="75"/>
      <c r="C525" s="75"/>
      <c r="D525" s="75"/>
      <c r="E525" s="75"/>
      <c r="F525" s="75"/>
      <c r="G525" s="75"/>
      <c r="H525" s="69"/>
      <c r="I525" s="69"/>
    </row>
    <row r="526" spans="2:9">
      <c r="B526" s="75"/>
      <c r="C526" s="75"/>
      <c r="D526" s="75"/>
      <c r="E526" s="75"/>
      <c r="F526" s="75"/>
      <c r="G526" s="75"/>
      <c r="H526" s="69"/>
      <c r="I526" s="69"/>
    </row>
    <row r="527" spans="2:9">
      <c r="B527" s="75"/>
      <c r="C527" s="75"/>
      <c r="D527" s="75"/>
      <c r="E527" s="75"/>
      <c r="F527" s="75"/>
      <c r="G527" s="75"/>
      <c r="H527" s="69"/>
      <c r="I527" s="69"/>
    </row>
    <row r="528" spans="2:9">
      <c r="B528" s="75"/>
      <c r="C528" s="75"/>
      <c r="D528" s="75"/>
      <c r="E528" s="75"/>
      <c r="F528" s="75"/>
      <c r="G528" s="75"/>
      <c r="H528" s="69"/>
      <c r="I528" s="69"/>
    </row>
    <row r="529" spans="2:9">
      <c r="B529" s="75"/>
      <c r="C529" s="75"/>
      <c r="D529" s="75"/>
      <c r="E529" s="75"/>
      <c r="F529" s="75"/>
      <c r="G529" s="75"/>
      <c r="H529" s="69"/>
      <c r="I529" s="69"/>
    </row>
    <row r="530" spans="2:9">
      <c r="B530" s="75"/>
      <c r="C530" s="75"/>
      <c r="D530" s="75"/>
      <c r="E530" s="75"/>
      <c r="F530" s="75"/>
      <c r="G530" s="75"/>
      <c r="H530" s="69"/>
      <c r="I530" s="69"/>
    </row>
    <row r="531" spans="2:9">
      <c r="B531" s="75"/>
      <c r="C531" s="75"/>
      <c r="D531" s="75"/>
      <c r="E531" s="75"/>
      <c r="F531" s="75"/>
      <c r="G531" s="75"/>
      <c r="H531" s="69"/>
      <c r="I531" s="69"/>
    </row>
    <row r="532" spans="2:9">
      <c r="B532" s="75"/>
      <c r="C532" s="75"/>
      <c r="D532" s="75"/>
      <c r="E532" s="75"/>
      <c r="F532" s="75"/>
      <c r="G532" s="75"/>
      <c r="H532" s="69"/>
      <c r="I532" s="69"/>
    </row>
    <row r="533" spans="2:9">
      <c r="B533" s="75"/>
      <c r="C533" s="75"/>
      <c r="D533" s="75"/>
      <c r="E533" s="75"/>
      <c r="F533" s="75"/>
      <c r="G533" s="75"/>
      <c r="H533" s="69"/>
      <c r="I533" s="69"/>
    </row>
    <row r="534" spans="2:9">
      <c r="B534" s="75"/>
      <c r="C534" s="75"/>
      <c r="D534" s="75"/>
      <c r="E534" s="75"/>
      <c r="F534" s="75"/>
      <c r="G534" s="75"/>
      <c r="H534" s="69"/>
      <c r="I534" s="69"/>
    </row>
    <row r="535" spans="2:9">
      <c r="B535" s="75"/>
      <c r="C535" s="75"/>
      <c r="D535" s="75"/>
      <c r="E535" s="75"/>
      <c r="F535" s="75"/>
      <c r="G535" s="75"/>
      <c r="H535" s="69"/>
      <c r="I535" s="69"/>
    </row>
    <row r="536" spans="2:9">
      <c r="B536" s="75"/>
      <c r="C536" s="75"/>
      <c r="D536" s="75"/>
      <c r="E536" s="75"/>
      <c r="F536" s="75"/>
      <c r="G536" s="75"/>
      <c r="H536" s="69"/>
      <c r="I536" s="69"/>
    </row>
    <row r="537" spans="2:9">
      <c r="B537" s="75"/>
      <c r="C537" s="75"/>
      <c r="D537" s="75"/>
      <c r="E537" s="75"/>
      <c r="F537" s="75"/>
      <c r="G537" s="75"/>
      <c r="H537" s="69"/>
      <c r="I537" s="69"/>
    </row>
    <row r="538" spans="2:9">
      <c r="B538" s="75"/>
      <c r="C538" s="75"/>
      <c r="D538" s="75"/>
      <c r="E538" s="75"/>
      <c r="F538" s="75"/>
      <c r="G538" s="75"/>
      <c r="H538" s="69"/>
      <c r="I538" s="69"/>
    </row>
    <row r="539" spans="2:9">
      <c r="B539" s="75"/>
      <c r="C539" s="75"/>
      <c r="D539" s="75"/>
      <c r="E539" s="75"/>
      <c r="F539" s="75"/>
      <c r="G539" s="75"/>
      <c r="H539" s="69"/>
      <c r="I539" s="69"/>
    </row>
    <row r="540" spans="2:9">
      <c r="B540" s="75"/>
      <c r="C540" s="75"/>
      <c r="D540" s="75"/>
      <c r="E540" s="75"/>
      <c r="F540" s="75"/>
      <c r="G540" s="75"/>
      <c r="H540" s="69"/>
      <c r="I540" s="69"/>
    </row>
    <row r="541" spans="2:9">
      <c r="B541" s="75"/>
      <c r="C541" s="75"/>
      <c r="D541" s="75"/>
      <c r="E541" s="75"/>
      <c r="F541" s="75"/>
      <c r="G541" s="75"/>
      <c r="H541" s="69"/>
      <c r="I541" s="69"/>
    </row>
    <row r="542" spans="2:9">
      <c r="B542" s="75"/>
      <c r="C542" s="75"/>
      <c r="D542" s="75"/>
      <c r="E542" s="75"/>
      <c r="F542" s="75"/>
      <c r="G542" s="75"/>
      <c r="H542" s="69"/>
      <c r="I542" s="69"/>
    </row>
    <row r="543" spans="2:9">
      <c r="B543" s="75"/>
      <c r="C543" s="75"/>
      <c r="D543" s="75"/>
      <c r="E543" s="75"/>
      <c r="F543" s="75"/>
      <c r="G543" s="75"/>
      <c r="H543" s="69"/>
      <c r="I543" s="69"/>
    </row>
    <row r="544" spans="2:9">
      <c r="B544" s="75"/>
      <c r="C544" s="75"/>
      <c r="D544" s="75"/>
      <c r="E544" s="75"/>
      <c r="F544" s="75"/>
      <c r="G544" s="75"/>
      <c r="H544" s="69"/>
      <c r="I544" s="69"/>
    </row>
    <row r="545" spans="2:9">
      <c r="B545" s="75"/>
      <c r="C545" s="75"/>
      <c r="D545" s="75"/>
      <c r="E545" s="75"/>
      <c r="F545" s="75"/>
      <c r="G545" s="75"/>
      <c r="H545" s="69"/>
      <c r="I545" s="69"/>
    </row>
    <row r="546" spans="2:9">
      <c r="B546" s="75"/>
      <c r="C546" s="75"/>
      <c r="D546" s="75"/>
      <c r="E546" s="75"/>
      <c r="F546" s="75"/>
      <c r="G546" s="75"/>
      <c r="H546" s="69"/>
      <c r="I546" s="69"/>
    </row>
    <row r="547" spans="2:9">
      <c r="B547" s="75"/>
      <c r="C547" s="75"/>
      <c r="D547" s="75"/>
      <c r="E547" s="75"/>
      <c r="F547" s="75"/>
      <c r="G547" s="75"/>
      <c r="H547" s="69"/>
      <c r="I547" s="69"/>
    </row>
    <row r="548" spans="2:9">
      <c r="B548" s="75"/>
      <c r="C548" s="75"/>
      <c r="D548" s="75"/>
      <c r="E548" s="75"/>
      <c r="F548" s="75"/>
      <c r="G548" s="75"/>
      <c r="H548" s="69"/>
      <c r="I548" s="69"/>
    </row>
    <row r="549" spans="2:9">
      <c r="B549" s="75"/>
      <c r="C549" s="75"/>
      <c r="D549" s="75"/>
      <c r="E549" s="75"/>
      <c r="F549" s="75"/>
      <c r="G549" s="75"/>
      <c r="H549" s="69"/>
      <c r="I549" s="69"/>
    </row>
    <row r="550" spans="2:9">
      <c r="B550" s="75"/>
      <c r="C550" s="75"/>
      <c r="D550" s="75"/>
      <c r="E550" s="75"/>
      <c r="F550" s="75"/>
      <c r="G550" s="75"/>
      <c r="H550" s="69"/>
      <c r="I550" s="69"/>
    </row>
    <row r="551" spans="2:9">
      <c r="B551" s="75"/>
      <c r="C551" s="75"/>
      <c r="D551" s="75"/>
      <c r="E551" s="75"/>
      <c r="F551" s="75"/>
      <c r="G551" s="75"/>
      <c r="H551" s="69"/>
      <c r="I551" s="69"/>
    </row>
    <row r="552" spans="2:9">
      <c r="B552" s="75"/>
      <c r="C552" s="75"/>
      <c r="D552" s="75"/>
      <c r="E552" s="75"/>
      <c r="F552" s="75"/>
      <c r="G552" s="75"/>
      <c r="H552" s="69"/>
      <c r="I552" s="69"/>
    </row>
    <row r="553" spans="2:9">
      <c r="B553" s="75"/>
      <c r="C553" s="75"/>
      <c r="D553" s="75"/>
      <c r="E553" s="75"/>
      <c r="F553" s="75"/>
      <c r="G553" s="75"/>
      <c r="H553" s="69"/>
      <c r="I553" s="69"/>
    </row>
    <row r="554" spans="2:9">
      <c r="B554" s="75"/>
      <c r="C554" s="75"/>
      <c r="D554" s="75"/>
      <c r="E554" s="75"/>
      <c r="F554" s="75"/>
      <c r="G554" s="75"/>
      <c r="H554" s="69"/>
      <c r="I554" s="69"/>
    </row>
    <row r="555" spans="2:9">
      <c r="B555" s="75"/>
      <c r="C555" s="75"/>
      <c r="D555" s="75"/>
      <c r="E555" s="75"/>
      <c r="F555" s="75"/>
      <c r="G555" s="75"/>
      <c r="H555" s="69"/>
      <c r="I555" s="69"/>
    </row>
    <row r="556" spans="2:9">
      <c r="B556" s="75"/>
      <c r="C556" s="75"/>
      <c r="D556" s="75"/>
      <c r="E556" s="75"/>
      <c r="F556" s="75"/>
      <c r="G556" s="75"/>
      <c r="H556" s="69"/>
      <c r="I556" s="69"/>
    </row>
    <row r="557" spans="2:9">
      <c r="B557" s="75"/>
      <c r="C557" s="75"/>
      <c r="D557" s="75"/>
      <c r="E557" s="75"/>
      <c r="F557" s="75"/>
      <c r="G557" s="75"/>
      <c r="H557" s="69"/>
      <c r="I557" s="69"/>
    </row>
    <row r="558" spans="2:9">
      <c r="B558" s="75"/>
      <c r="C558" s="75"/>
      <c r="D558" s="75"/>
      <c r="E558" s="75"/>
      <c r="F558" s="75"/>
      <c r="G558" s="75"/>
      <c r="H558" s="69"/>
      <c r="I558" s="69"/>
    </row>
    <row r="559" spans="2:9">
      <c r="B559" s="75"/>
      <c r="C559" s="75"/>
      <c r="D559" s="75"/>
      <c r="E559" s="75"/>
      <c r="F559" s="75"/>
      <c r="G559" s="75"/>
      <c r="H559" s="69"/>
      <c r="I559" s="69"/>
    </row>
    <row r="560" spans="2:9">
      <c r="B560" s="75"/>
      <c r="C560" s="75"/>
      <c r="D560" s="75"/>
      <c r="E560" s="75"/>
      <c r="F560" s="75"/>
      <c r="G560" s="75"/>
      <c r="H560" s="69"/>
      <c r="I560" s="69"/>
    </row>
    <row r="561" spans="2:9">
      <c r="B561" s="75"/>
      <c r="C561" s="75"/>
      <c r="D561" s="75"/>
      <c r="E561" s="75"/>
      <c r="F561" s="75"/>
      <c r="G561" s="75"/>
      <c r="H561" s="69"/>
      <c r="I561" s="69"/>
    </row>
    <row r="562" spans="2:9">
      <c r="B562" s="75"/>
      <c r="C562" s="75"/>
      <c r="D562" s="75"/>
      <c r="E562" s="75"/>
      <c r="F562" s="75"/>
      <c r="G562" s="75"/>
      <c r="H562" s="69"/>
      <c r="I562" s="69"/>
    </row>
    <row r="563" spans="2:9">
      <c r="B563" s="75"/>
      <c r="C563" s="75"/>
      <c r="D563" s="75"/>
      <c r="E563" s="75"/>
      <c r="F563" s="75"/>
      <c r="G563" s="75"/>
      <c r="H563" s="69"/>
      <c r="I563" s="69"/>
    </row>
    <row r="564" spans="2:9">
      <c r="B564" s="75"/>
      <c r="C564" s="75"/>
      <c r="D564" s="75"/>
      <c r="E564" s="75"/>
      <c r="F564" s="75"/>
      <c r="G564" s="75"/>
      <c r="H564" s="69"/>
      <c r="I564" s="69"/>
    </row>
    <row r="565" spans="2:9">
      <c r="B565" s="75"/>
      <c r="C565" s="75"/>
      <c r="D565" s="75"/>
      <c r="E565" s="75"/>
      <c r="F565" s="75"/>
      <c r="G565" s="75"/>
      <c r="H565" s="69"/>
      <c r="I565" s="69"/>
    </row>
    <row r="566" spans="2:9">
      <c r="B566" s="75"/>
      <c r="C566" s="75"/>
      <c r="D566" s="75"/>
      <c r="E566" s="75"/>
      <c r="F566" s="75"/>
      <c r="G566" s="75"/>
      <c r="H566" s="69"/>
      <c r="I566" s="69"/>
    </row>
    <row r="567" spans="2:9">
      <c r="B567" s="75"/>
      <c r="C567" s="75"/>
      <c r="D567" s="75"/>
      <c r="E567" s="75"/>
      <c r="F567" s="75"/>
      <c r="G567" s="75"/>
      <c r="H567" s="69"/>
      <c r="I567" s="69"/>
    </row>
    <row r="568" spans="2:9">
      <c r="B568" s="75"/>
      <c r="C568" s="75"/>
      <c r="D568" s="75"/>
      <c r="E568" s="75"/>
      <c r="F568" s="75"/>
      <c r="G568" s="75"/>
      <c r="H568" s="69"/>
      <c r="I568" s="69"/>
    </row>
    <row r="569" spans="2:9">
      <c r="B569" s="75"/>
      <c r="C569" s="75"/>
      <c r="D569" s="75"/>
      <c r="E569" s="75"/>
      <c r="F569" s="75"/>
      <c r="G569" s="75"/>
      <c r="H569" s="69"/>
      <c r="I569" s="69"/>
    </row>
    <row r="570" spans="2:9">
      <c r="B570" s="75"/>
      <c r="C570" s="75"/>
      <c r="D570" s="75"/>
      <c r="E570" s="75"/>
      <c r="F570" s="75"/>
      <c r="G570" s="75"/>
      <c r="H570" s="69"/>
      <c r="I570" s="69"/>
    </row>
    <row r="571" spans="2:9">
      <c r="B571" s="75"/>
      <c r="C571" s="75"/>
      <c r="D571" s="75"/>
      <c r="E571" s="75"/>
      <c r="F571" s="75"/>
      <c r="G571" s="75"/>
      <c r="H571" s="69"/>
      <c r="I571" s="69"/>
    </row>
    <row r="572" spans="2:9">
      <c r="B572" s="75"/>
      <c r="C572" s="75"/>
      <c r="D572" s="75"/>
      <c r="E572" s="75"/>
      <c r="F572" s="75"/>
      <c r="G572" s="75"/>
      <c r="H572" s="69"/>
      <c r="I572" s="69"/>
    </row>
    <row r="573" spans="2:9">
      <c r="B573" s="75"/>
      <c r="C573" s="75"/>
      <c r="D573" s="75"/>
      <c r="E573" s="75"/>
      <c r="F573" s="75"/>
      <c r="G573" s="75"/>
      <c r="H573" s="69"/>
      <c r="I573" s="69"/>
    </row>
    <row r="574" spans="2:9">
      <c r="B574" s="75"/>
      <c r="C574" s="75"/>
      <c r="D574" s="75"/>
      <c r="E574" s="75"/>
      <c r="F574" s="75"/>
      <c r="G574" s="75"/>
      <c r="H574" s="69"/>
      <c r="I574" s="69"/>
    </row>
    <row r="575" spans="2:9">
      <c r="B575" s="75"/>
      <c r="C575" s="75"/>
      <c r="D575" s="75"/>
      <c r="E575" s="75"/>
      <c r="F575" s="75"/>
      <c r="G575" s="75"/>
      <c r="H575" s="69"/>
      <c r="I575" s="69"/>
    </row>
    <row r="576" spans="2:9">
      <c r="B576" s="75"/>
      <c r="C576" s="75"/>
      <c r="D576" s="75"/>
      <c r="E576" s="75"/>
      <c r="F576" s="75"/>
      <c r="G576" s="75"/>
      <c r="H576" s="69"/>
      <c r="I576" s="69"/>
    </row>
    <row r="577" spans="2:9">
      <c r="B577" s="75"/>
      <c r="C577" s="75"/>
      <c r="D577" s="75"/>
      <c r="E577" s="75"/>
      <c r="F577" s="75"/>
      <c r="G577" s="75"/>
      <c r="H577" s="69"/>
      <c r="I577" s="69"/>
    </row>
    <row r="578" spans="2:9">
      <c r="B578" s="75"/>
      <c r="C578" s="75"/>
      <c r="D578" s="75"/>
      <c r="E578" s="75"/>
      <c r="F578" s="75"/>
      <c r="G578" s="75"/>
      <c r="H578" s="69"/>
      <c r="I578" s="69"/>
    </row>
    <row r="579" spans="2:9">
      <c r="B579" s="75"/>
      <c r="C579" s="75"/>
      <c r="D579" s="75"/>
      <c r="E579" s="75"/>
      <c r="F579" s="75"/>
      <c r="G579" s="75"/>
      <c r="H579" s="69"/>
      <c r="I579" s="69"/>
    </row>
    <row r="580" spans="2:9">
      <c r="B580" s="75"/>
      <c r="C580" s="75"/>
      <c r="D580" s="75"/>
      <c r="E580" s="75"/>
      <c r="F580" s="75"/>
      <c r="G580" s="75"/>
      <c r="H580" s="69"/>
      <c r="I580" s="69"/>
    </row>
    <row r="581" spans="2:9">
      <c r="B581" s="75"/>
      <c r="C581" s="75"/>
      <c r="D581" s="75"/>
      <c r="E581" s="75"/>
      <c r="F581" s="75"/>
      <c r="G581" s="75"/>
      <c r="H581" s="69"/>
      <c r="I581" s="69"/>
    </row>
    <row r="582" spans="2:9">
      <c r="B582" s="75"/>
      <c r="C582" s="75"/>
      <c r="D582" s="75"/>
      <c r="E582" s="75"/>
      <c r="F582" s="75"/>
      <c r="G582" s="75"/>
      <c r="H582" s="69"/>
      <c r="I582" s="69"/>
    </row>
    <row r="583" spans="2:9">
      <c r="B583" s="75"/>
      <c r="C583" s="75"/>
      <c r="D583" s="75"/>
      <c r="E583" s="75"/>
      <c r="F583" s="75"/>
      <c r="G583" s="75"/>
      <c r="H583" s="69"/>
      <c r="I583" s="69"/>
    </row>
    <row r="584" spans="2:9">
      <c r="B584" s="75"/>
      <c r="C584" s="75"/>
      <c r="D584" s="75"/>
      <c r="E584" s="75"/>
      <c r="F584" s="75"/>
      <c r="G584" s="75"/>
      <c r="H584" s="69"/>
      <c r="I584" s="69"/>
    </row>
    <row r="585" spans="2:9">
      <c r="B585" s="75"/>
      <c r="C585" s="75"/>
      <c r="D585" s="75"/>
      <c r="E585" s="75"/>
      <c r="F585" s="75"/>
      <c r="G585" s="75"/>
      <c r="H585" s="69"/>
      <c r="I585" s="69"/>
    </row>
    <row r="586" spans="2:9">
      <c r="B586" s="75"/>
      <c r="C586" s="75"/>
      <c r="D586" s="75"/>
      <c r="E586" s="75"/>
      <c r="F586" s="75"/>
      <c r="G586" s="75"/>
      <c r="H586" s="69"/>
      <c r="I586" s="69"/>
    </row>
    <row r="587" spans="2:9">
      <c r="B587" s="75"/>
      <c r="C587" s="75"/>
      <c r="D587" s="75"/>
      <c r="E587" s="75"/>
      <c r="F587" s="75"/>
      <c r="G587" s="75"/>
      <c r="H587" s="69"/>
      <c r="I587" s="69"/>
    </row>
    <row r="588" spans="2:9">
      <c r="B588" s="75"/>
      <c r="C588" s="75"/>
      <c r="D588" s="75"/>
      <c r="E588" s="75"/>
      <c r="F588" s="75"/>
      <c r="G588" s="75"/>
      <c r="H588" s="69"/>
      <c r="I588" s="69"/>
    </row>
    <row r="589" spans="2:9">
      <c r="B589" s="75"/>
      <c r="C589" s="75"/>
      <c r="D589" s="75"/>
      <c r="E589" s="75"/>
      <c r="F589" s="75"/>
      <c r="G589" s="75"/>
      <c r="H589" s="69"/>
      <c r="I589" s="69"/>
    </row>
    <row r="590" spans="2:9">
      <c r="B590" s="75"/>
      <c r="C590" s="75"/>
      <c r="D590" s="75"/>
      <c r="E590" s="75"/>
      <c r="F590" s="75"/>
      <c r="G590" s="75"/>
      <c r="H590" s="69"/>
      <c r="I590" s="69"/>
    </row>
    <row r="591" spans="2:9">
      <c r="B591" s="75"/>
      <c r="C591" s="75"/>
      <c r="D591" s="75"/>
      <c r="E591" s="75"/>
      <c r="F591" s="75"/>
      <c r="G591" s="75"/>
      <c r="H591" s="69"/>
      <c r="I591" s="69"/>
    </row>
    <row r="592" spans="2:9">
      <c r="B592" s="75"/>
      <c r="C592" s="75"/>
      <c r="D592" s="75"/>
      <c r="E592" s="75"/>
      <c r="F592" s="75"/>
      <c r="G592" s="75"/>
      <c r="H592" s="69"/>
      <c r="I592" s="69"/>
    </row>
    <row r="593" spans="2:9">
      <c r="B593" s="75"/>
      <c r="C593" s="75"/>
      <c r="D593" s="75"/>
      <c r="E593" s="75"/>
      <c r="F593" s="75"/>
      <c r="G593" s="75"/>
      <c r="H593" s="69"/>
      <c r="I593" s="69"/>
    </row>
    <row r="594" spans="2:9">
      <c r="B594" s="75"/>
      <c r="C594" s="75"/>
      <c r="D594" s="75"/>
      <c r="E594" s="75"/>
      <c r="F594" s="75"/>
      <c r="G594" s="75"/>
      <c r="H594" s="69"/>
      <c r="I594" s="69"/>
    </row>
    <row r="595" spans="2:9">
      <c r="B595" s="75"/>
      <c r="C595" s="75"/>
      <c r="D595" s="75"/>
      <c r="E595" s="75"/>
      <c r="F595" s="75"/>
      <c r="G595" s="75"/>
      <c r="H595" s="69"/>
      <c r="I595" s="69"/>
    </row>
    <row r="596" spans="2:9">
      <c r="B596" s="75"/>
      <c r="C596" s="75"/>
      <c r="D596" s="75"/>
      <c r="E596" s="75"/>
      <c r="F596" s="75"/>
      <c r="G596" s="75"/>
      <c r="H596" s="69"/>
      <c r="I596" s="69"/>
    </row>
    <row r="597" spans="2:9">
      <c r="B597" s="75"/>
      <c r="C597" s="75"/>
      <c r="D597" s="75"/>
      <c r="E597" s="75"/>
      <c r="F597" s="75"/>
      <c r="G597" s="75"/>
      <c r="H597" s="69"/>
      <c r="I597" s="69"/>
    </row>
    <row r="598" spans="2:9">
      <c r="B598" s="75"/>
      <c r="C598" s="75"/>
      <c r="D598" s="75"/>
      <c r="E598" s="75"/>
      <c r="F598" s="75"/>
      <c r="G598" s="75"/>
      <c r="H598" s="69"/>
      <c r="I598" s="69"/>
    </row>
    <row r="599" spans="2:9">
      <c r="B599" s="75"/>
      <c r="C599" s="75"/>
      <c r="D599" s="75"/>
      <c r="E599" s="75"/>
      <c r="F599" s="75"/>
      <c r="G599" s="75"/>
      <c r="H599" s="69"/>
      <c r="I599" s="69"/>
    </row>
    <row r="600" spans="2:9">
      <c r="B600" s="75"/>
      <c r="C600" s="75"/>
      <c r="D600" s="75"/>
      <c r="E600" s="75"/>
      <c r="F600" s="75"/>
      <c r="G600" s="75"/>
      <c r="H600" s="69"/>
      <c r="I600" s="69"/>
    </row>
    <row r="601" spans="2:9">
      <c r="B601" s="75"/>
      <c r="C601" s="75"/>
      <c r="D601" s="75"/>
      <c r="E601" s="75"/>
      <c r="F601" s="75"/>
      <c r="G601" s="75"/>
      <c r="H601" s="69"/>
      <c r="I601" s="69"/>
    </row>
    <row r="602" spans="2:9">
      <c r="B602" s="75"/>
      <c r="C602" s="75"/>
      <c r="D602" s="75"/>
      <c r="E602" s="75"/>
      <c r="F602" s="75"/>
      <c r="G602" s="75"/>
      <c r="H602" s="69"/>
      <c r="I602" s="69"/>
    </row>
    <row r="603" spans="2:9">
      <c r="B603" s="75"/>
      <c r="C603" s="75"/>
      <c r="D603" s="75"/>
      <c r="E603" s="75"/>
      <c r="F603" s="75"/>
      <c r="G603" s="75"/>
      <c r="H603" s="69"/>
      <c r="I603" s="69"/>
    </row>
    <row r="604" spans="2:9">
      <c r="B604" s="75"/>
      <c r="C604" s="75"/>
      <c r="D604" s="75"/>
      <c r="E604" s="75"/>
      <c r="F604" s="75"/>
      <c r="G604" s="75"/>
      <c r="H604" s="69"/>
      <c r="I604" s="69"/>
    </row>
    <row r="605" spans="2:9">
      <c r="B605" s="75"/>
      <c r="C605" s="75"/>
      <c r="D605" s="75"/>
      <c r="E605" s="75"/>
      <c r="F605" s="75"/>
      <c r="G605" s="75"/>
      <c r="H605" s="69"/>
      <c r="I605" s="69"/>
    </row>
    <row r="606" spans="2:9">
      <c r="B606" s="75"/>
      <c r="C606" s="75"/>
      <c r="D606" s="75"/>
      <c r="E606" s="75"/>
      <c r="F606" s="75"/>
      <c r="G606" s="75"/>
      <c r="H606" s="69"/>
      <c r="I606" s="69"/>
    </row>
    <row r="607" spans="2:9">
      <c r="B607" s="75"/>
      <c r="C607" s="75"/>
      <c r="D607" s="75"/>
      <c r="E607" s="75"/>
      <c r="F607" s="75"/>
      <c r="G607" s="75"/>
      <c r="H607" s="69"/>
      <c r="I607" s="69"/>
    </row>
    <row r="608" spans="2:9">
      <c r="B608" s="75"/>
      <c r="C608" s="75"/>
      <c r="D608" s="75"/>
      <c r="E608" s="75"/>
      <c r="F608" s="75"/>
      <c r="G608" s="75"/>
      <c r="H608" s="69"/>
      <c r="I608" s="69"/>
    </row>
    <row r="609" spans="2:9">
      <c r="B609" s="75"/>
      <c r="C609" s="75"/>
      <c r="D609" s="75"/>
      <c r="E609" s="75"/>
      <c r="F609" s="75"/>
      <c r="G609" s="75"/>
      <c r="H609" s="69"/>
      <c r="I609" s="69"/>
    </row>
    <row r="610" spans="2:9">
      <c r="B610" s="75"/>
      <c r="C610" s="75"/>
      <c r="D610" s="75"/>
      <c r="E610" s="75"/>
      <c r="F610" s="75"/>
      <c r="G610" s="75"/>
      <c r="H610" s="69"/>
      <c r="I610" s="69"/>
    </row>
    <row r="611" spans="2:9">
      <c r="B611" s="75"/>
      <c r="C611" s="75"/>
      <c r="D611" s="75"/>
      <c r="E611" s="75"/>
      <c r="F611" s="75"/>
      <c r="G611" s="75"/>
      <c r="H611" s="69"/>
      <c r="I611" s="69"/>
    </row>
    <row r="612" spans="2:9">
      <c r="B612" s="75"/>
      <c r="C612" s="75"/>
      <c r="D612" s="75"/>
      <c r="E612" s="75"/>
      <c r="F612" s="75"/>
      <c r="G612" s="75"/>
      <c r="H612" s="69"/>
      <c r="I612" s="69"/>
    </row>
    <row r="613" spans="2:9">
      <c r="B613" s="75"/>
      <c r="C613" s="75"/>
      <c r="D613" s="75"/>
      <c r="E613" s="75"/>
      <c r="F613" s="75"/>
      <c r="G613" s="75"/>
      <c r="H613" s="69"/>
      <c r="I613" s="69"/>
    </row>
    <row r="614" spans="2:9">
      <c r="B614" s="75"/>
      <c r="C614" s="75"/>
      <c r="D614" s="75"/>
      <c r="E614" s="75"/>
      <c r="F614" s="75"/>
      <c r="G614" s="75"/>
      <c r="H614" s="69"/>
      <c r="I614" s="69"/>
    </row>
    <row r="615" spans="2:9">
      <c r="B615" s="75"/>
      <c r="C615" s="75"/>
      <c r="D615" s="75"/>
      <c r="E615" s="75"/>
      <c r="F615" s="75"/>
      <c r="G615" s="75"/>
      <c r="H615" s="69"/>
      <c r="I615" s="69"/>
    </row>
    <row r="616" spans="2:9">
      <c r="B616" s="75"/>
      <c r="C616" s="75"/>
      <c r="D616" s="75"/>
      <c r="E616" s="75"/>
      <c r="F616" s="75"/>
      <c r="G616" s="75"/>
      <c r="H616" s="69"/>
      <c r="I616" s="69"/>
    </row>
    <row r="617" spans="2:9">
      <c r="B617" s="75"/>
      <c r="C617" s="75"/>
      <c r="D617" s="75"/>
      <c r="E617" s="75"/>
      <c r="F617" s="75"/>
      <c r="G617" s="75"/>
      <c r="H617" s="69"/>
      <c r="I617" s="69"/>
    </row>
    <row r="618" spans="2:9">
      <c r="B618" s="75"/>
      <c r="C618" s="75"/>
      <c r="D618" s="75"/>
      <c r="E618" s="75"/>
      <c r="F618" s="75"/>
      <c r="G618" s="75"/>
      <c r="H618" s="69"/>
      <c r="I618" s="69"/>
    </row>
    <row r="619" spans="2:9">
      <c r="B619" s="75"/>
      <c r="C619" s="75"/>
      <c r="D619" s="75"/>
      <c r="E619" s="75"/>
      <c r="F619" s="75"/>
      <c r="G619" s="75"/>
      <c r="H619" s="69"/>
      <c r="I619" s="69"/>
    </row>
    <row r="620" spans="2:9">
      <c r="B620" s="75"/>
      <c r="C620" s="75"/>
      <c r="D620" s="75"/>
      <c r="E620" s="75"/>
      <c r="F620" s="75"/>
      <c r="G620" s="75"/>
      <c r="H620" s="69"/>
      <c r="I620" s="69"/>
    </row>
    <row r="621" spans="2:9">
      <c r="B621" s="75"/>
      <c r="C621" s="75"/>
      <c r="D621" s="75"/>
      <c r="E621" s="75"/>
      <c r="F621" s="75"/>
      <c r="G621" s="75"/>
      <c r="H621" s="69"/>
      <c r="I621" s="69"/>
    </row>
    <row r="622" spans="2:9">
      <c r="B622" s="75"/>
      <c r="C622" s="75"/>
      <c r="D622" s="75"/>
      <c r="E622" s="75"/>
      <c r="F622" s="75"/>
      <c r="G622" s="75"/>
      <c r="H622" s="69"/>
      <c r="I622" s="69"/>
    </row>
    <row r="623" spans="2:9">
      <c r="B623" s="75"/>
      <c r="C623" s="75"/>
      <c r="D623" s="75"/>
      <c r="E623" s="75"/>
      <c r="F623" s="75"/>
      <c r="G623" s="75"/>
      <c r="H623" s="69"/>
      <c r="I623" s="69"/>
    </row>
    <row r="624" spans="2:9">
      <c r="B624" s="75"/>
      <c r="C624" s="75"/>
      <c r="D624" s="75"/>
      <c r="E624" s="75"/>
      <c r="F624" s="75"/>
      <c r="G624" s="75"/>
      <c r="H624" s="69"/>
      <c r="I624" s="69"/>
    </row>
    <row r="625" spans="2:9">
      <c r="B625" s="75"/>
      <c r="C625" s="75"/>
      <c r="D625" s="75"/>
      <c r="E625" s="75"/>
      <c r="F625" s="75"/>
      <c r="G625" s="75"/>
      <c r="H625" s="69"/>
      <c r="I625" s="69"/>
    </row>
    <row r="626" spans="2:9">
      <c r="B626" s="75"/>
      <c r="C626" s="75"/>
      <c r="D626" s="75"/>
      <c r="E626" s="75"/>
      <c r="F626" s="75"/>
      <c r="G626" s="75"/>
      <c r="H626" s="69"/>
      <c r="I626" s="69"/>
    </row>
    <row r="627" spans="2:9">
      <c r="B627" s="75"/>
      <c r="C627" s="75"/>
      <c r="D627" s="75"/>
      <c r="E627" s="75"/>
      <c r="F627" s="75"/>
      <c r="G627" s="75"/>
      <c r="H627" s="69"/>
      <c r="I627" s="69"/>
    </row>
    <row r="628" spans="2:9">
      <c r="B628" s="75"/>
      <c r="C628" s="75"/>
      <c r="D628" s="75"/>
      <c r="E628" s="75"/>
      <c r="F628" s="75"/>
      <c r="G628" s="75"/>
      <c r="H628" s="69"/>
      <c r="I628" s="69"/>
    </row>
    <row r="629" spans="2:9">
      <c r="B629" s="75"/>
      <c r="C629" s="75"/>
      <c r="D629" s="75"/>
      <c r="E629" s="75"/>
      <c r="F629" s="75"/>
      <c r="G629" s="75"/>
      <c r="H629" s="69"/>
      <c r="I629" s="69"/>
    </row>
    <row r="630" spans="2:9">
      <c r="B630" s="75"/>
      <c r="C630" s="75"/>
      <c r="D630" s="75"/>
      <c r="E630" s="75"/>
      <c r="F630" s="75"/>
      <c r="G630" s="75"/>
      <c r="H630" s="69"/>
      <c r="I630" s="69"/>
    </row>
    <row r="631" spans="2:9">
      <c r="B631" s="75"/>
      <c r="C631" s="75"/>
      <c r="D631" s="75"/>
      <c r="E631" s="75"/>
      <c r="F631" s="75"/>
      <c r="G631" s="75"/>
      <c r="H631" s="69"/>
      <c r="I631" s="69"/>
    </row>
    <row r="632" spans="2:9">
      <c r="B632" s="75"/>
      <c r="C632" s="75"/>
      <c r="D632" s="75"/>
      <c r="E632" s="75"/>
      <c r="F632" s="75"/>
      <c r="G632" s="75"/>
      <c r="H632" s="69"/>
      <c r="I632" s="69"/>
    </row>
    <row r="633" spans="2:9">
      <c r="B633" s="75"/>
      <c r="C633" s="75"/>
      <c r="D633" s="75"/>
      <c r="E633" s="75"/>
      <c r="F633" s="75"/>
      <c r="G633" s="75"/>
      <c r="H633" s="69"/>
      <c r="I633" s="69"/>
    </row>
    <row r="634" spans="2:9">
      <c r="B634" s="75"/>
      <c r="C634" s="75"/>
      <c r="D634" s="75"/>
      <c r="E634" s="75"/>
      <c r="F634" s="75"/>
      <c r="G634" s="75"/>
      <c r="H634" s="69"/>
      <c r="I634" s="69"/>
    </row>
    <row r="635" spans="2:9">
      <c r="B635" s="75"/>
      <c r="C635" s="75"/>
      <c r="D635" s="75"/>
      <c r="E635" s="75"/>
      <c r="F635" s="75"/>
      <c r="G635" s="75"/>
      <c r="H635" s="69"/>
      <c r="I635" s="69"/>
    </row>
    <row r="636" spans="2:9">
      <c r="B636" s="75"/>
      <c r="C636" s="75"/>
      <c r="D636" s="75"/>
      <c r="E636" s="75"/>
      <c r="F636" s="75"/>
      <c r="G636" s="75"/>
      <c r="H636" s="69"/>
      <c r="I636" s="69"/>
    </row>
    <row r="637" spans="2:9">
      <c r="B637" s="75"/>
      <c r="C637" s="75"/>
      <c r="D637" s="75"/>
      <c r="E637" s="75"/>
      <c r="F637" s="75"/>
      <c r="G637" s="75"/>
      <c r="H637" s="69"/>
      <c r="I637" s="69"/>
    </row>
    <row r="638" spans="2:9">
      <c r="B638" s="75"/>
      <c r="C638" s="75"/>
      <c r="D638" s="75"/>
      <c r="E638" s="75"/>
      <c r="F638" s="75"/>
      <c r="G638" s="75"/>
      <c r="H638" s="69"/>
      <c r="I638" s="69"/>
    </row>
    <row r="639" spans="2:9">
      <c r="B639" s="75"/>
      <c r="C639" s="75"/>
      <c r="D639" s="75"/>
      <c r="E639" s="75"/>
      <c r="F639" s="75"/>
      <c r="G639" s="75"/>
      <c r="H639" s="69"/>
      <c r="I639" s="69"/>
    </row>
    <row r="640" spans="2:9">
      <c r="B640" s="75"/>
      <c r="C640" s="75"/>
      <c r="D640" s="75"/>
      <c r="E640" s="75"/>
      <c r="F640" s="75"/>
      <c r="G640" s="75"/>
      <c r="H640" s="69"/>
      <c r="I640" s="69"/>
    </row>
    <row r="641" spans="2:9">
      <c r="B641" s="75"/>
      <c r="C641" s="75"/>
      <c r="D641" s="75"/>
      <c r="E641" s="75"/>
      <c r="F641" s="75"/>
      <c r="G641" s="75"/>
      <c r="H641" s="69"/>
      <c r="I641" s="69"/>
    </row>
    <row r="642" spans="2:9">
      <c r="B642" s="75"/>
      <c r="C642" s="75"/>
      <c r="D642" s="75"/>
      <c r="E642" s="75"/>
      <c r="F642" s="75"/>
      <c r="G642" s="75"/>
      <c r="H642" s="69"/>
      <c r="I642" s="69"/>
    </row>
    <row r="643" spans="2:9">
      <c r="B643" s="75"/>
      <c r="C643" s="75"/>
      <c r="D643" s="75"/>
      <c r="E643" s="75"/>
      <c r="F643" s="75"/>
      <c r="G643" s="75"/>
      <c r="H643" s="69"/>
      <c r="I643" s="69"/>
    </row>
    <row r="644" spans="2:9">
      <c r="B644" s="75"/>
      <c r="C644" s="75"/>
      <c r="D644" s="75"/>
      <c r="E644" s="75"/>
      <c r="F644" s="75"/>
      <c r="G644" s="75"/>
      <c r="H644" s="69"/>
      <c r="I644" s="69"/>
    </row>
    <row r="645" spans="2:9">
      <c r="B645" s="75"/>
      <c r="C645" s="75"/>
      <c r="D645" s="75"/>
      <c r="E645" s="75"/>
      <c r="F645" s="75"/>
      <c r="G645" s="75"/>
      <c r="H645" s="69"/>
      <c r="I645" s="69"/>
    </row>
    <row r="646" spans="2:9">
      <c r="B646" s="75"/>
      <c r="C646" s="75"/>
      <c r="D646" s="75"/>
      <c r="E646" s="75"/>
      <c r="F646" s="75"/>
      <c r="G646" s="75"/>
      <c r="H646" s="69"/>
      <c r="I646" s="69"/>
    </row>
    <row r="647" spans="2:9">
      <c r="B647" s="75"/>
      <c r="C647" s="75"/>
      <c r="D647" s="75"/>
      <c r="E647" s="75"/>
      <c r="F647" s="75"/>
      <c r="G647" s="75"/>
      <c r="H647" s="69"/>
      <c r="I647" s="69"/>
    </row>
    <row r="648" spans="2:9">
      <c r="B648" s="75"/>
      <c r="C648" s="75"/>
      <c r="D648" s="75"/>
      <c r="E648" s="75"/>
      <c r="F648" s="75"/>
      <c r="G648" s="75"/>
      <c r="H648" s="69"/>
      <c r="I648" s="69"/>
    </row>
    <row r="649" spans="2:9">
      <c r="B649" s="75"/>
      <c r="C649" s="75"/>
      <c r="D649" s="75"/>
      <c r="E649" s="75"/>
      <c r="F649" s="75"/>
      <c r="G649" s="75"/>
      <c r="H649" s="69"/>
      <c r="I649" s="69"/>
    </row>
    <row r="650" spans="2:9">
      <c r="B650" s="75"/>
      <c r="C650" s="75"/>
      <c r="D650" s="75"/>
      <c r="E650" s="75"/>
      <c r="F650" s="75"/>
      <c r="G650" s="75"/>
      <c r="H650" s="69"/>
      <c r="I650" s="69"/>
    </row>
    <row r="651" spans="2:9">
      <c r="B651" s="75"/>
      <c r="C651" s="75"/>
      <c r="D651" s="75"/>
      <c r="E651" s="75"/>
      <c r="F651" s="75"/>
      <c r="G651" s="75"/>
      <c r="H651" s="69"/>
      <c r="I651" s="69"/>
    </row>
    <row r="652" spans="2:9">
      <c r="B652" s="75"/>
      <c r="C652" s="75"/>
      <c r="D652" s="75"/>
      <c r="E652" s="75"/>
      <c r="F652" s="75"/>
      <c r="G652" s="75"/>
      <c r="H652" s="69"/>
      <c r="I652" s="69"/>
    </row>
    <row r="653" spans="2:9">
      <c r="B653" s="75"/>
      <c r="C653" s="75"/>
      <c r="D653" s="75"/>
      <c r="E653" s="75"/>
      <c r="F653" s="75"/>
      <c r="G653" s="75"/>
      <c r="H653" s="69"/>
      <c r="I653" s="69"/>
    </row>
    <row r="654" spans="2:9">
      <c r="B654" s="75"/>
      <c r="C654" s="75"/>
      <c r="D654" s="75"/>
      <c r="E654" s="75"/>
      <c r="F654" s="75"/>
      <c r="G654" s="75"/>
      <c r="H654" s="69"/>
      <c r="I654" s="69"/>
    </row>
    <row r="655" spans="2:9">
      <c r="B655" s="75"/>
      <c r="C655" s="75"/>
      <c r="D655" s="75"/>
      <c r="E655" s="75"/>
      <c r="F655" s="75"/>
      <c r="G655" s="75"/>
      <c r="H655" s="69"/>
      <c r="I655" s="69"/>
    </row>
    <row r="656" spans="2:9">
      <c r="B656" s="75"/>
      <c r="C656" s="75"/>
      <c r="D656" s="75"/>
      <c r="E656" s="75"/>
      <c r="F656" s="75"/>
      <c r="G656" s="75"/>
      <c r="H656" s="69"/>
      <c r="I656" s="69"/>
    </row>
    <row r="657" spans="2:9">
      <c r="B657" s="75"/>
      <c r="C657" s="75"/>
      <c r="D657" s="75"/>
      <c r="E657" s="75"/>
      <c r="F657" s="75"/>
      <c r="G657" s="75"/>
      <c r="H657" s="69"/>
      <c r="I657" s="69"/>
    </row>
    <row r="658" spans="2:9">
      <c r="B658" s="75"/>
      <c r="C658" s="75"/>
      <c r="D658" s="75"/>
      <c r="E658" s="75"/>
      <c r="F658" s="75"/>
      <c r="G658" s="75"/>
      <c r="H658" s="69"/>
      <c r="I658" s="69"/>
    </row>
    <row r="659" spans="2:9">
      <c r="B659" s="75"/>
      <c r="C659" s="75"/>
      <c r="D659" s="75"/>
      <c r="E659" s="75"/>
      <c r="F659" s="75"/>
      <c r="G659" s="75"/>
      <c r="H659" s="69"/>
      <c r="I659" s="69"/>
    </row>
    <row r="660" spans="2:9">
      <c r="B660" s="75"/>
      <c r="C660" s="75"/>
      <c r="D660" s="75"/>
      <c r="E660" s="75"/>
      <c r="F660" s="75"/>
      <c r="G660" s="75"/>
      <c r="H660" s="69"/>
      <c r="I660" s="69"/>
    </row>
    <row r="661" spans="2:9">
      <c r="B661" s="75"/>
      <c r="C661" s="75"/>
      <c r="D661" s="75"/>
      <c r="E661" s="75"/>
      <c r="F661" s="75"/>
      <c r="G661" s="75"/>
      <c r="H661" s="69"/>
      <c r="I661" s="69"/>
    </row>
    <row r="662" spans="2:9">
      <c r="B662" s="75"/>
      <c r="C662" s="75"/>
      <c r="D662" s="75"/>
      <c r="E662" s="75"/>
      <c r="F662" s="75"/>
      <c r="G662" s="75"/>
      <c r="H662" s="69"/>
      <c r="I662" s="69"/>
    </row>
    <row r="663" spans="2:9">
      <c r="B663" s="75"/>
      <c r="C663" s="75"/>
      <c r="D663" s="75"/>
      <c r="E663" s="75"/>
      <c r="F663" s="75"/>
      <c r="G663" s="75"/>
      <c r="H663" s="69"/>
      <c r="I663" s="69"/>
    </row>
    <row r="664" spans="2:9">
      <c r="B664" s="75"/>
      <c r="C664" s="75"/>
      <c r="D664" s="75"/>
      <c r="E664" s="75"/>
      <c r="F664" s="75"/>
      <c r="G664" s="75"/>
      <c r="H664" s="69"/>
      <c r="I664" s="69"/>
    </row>
    <row r="665" spans="2:9">
      <c r="B665" s="75"/>
      <c r="C665" s="75"/>
      <c r="D665" s="75"/>
      <c r="E665" s="75"/>
      <c r="F665" s="75"/>
      <c r="G665" s="75"/>
      <c r="H665" s="69"/>
      <c r="I665" s="69"/>
    </row>
    <row r="666" spans="2:9">
      <c r="B666" s="75"/>
      <c r="C666" s="75"/>
      <c r="D666" s="75"/>
      <c r="E666" s="75"/>
      <c r="F666" s="75"/>
      <c r="G666" s="75"/>
      <c r="H666" s="69"/>
      <c r="I666" s="69"/>
    </row>
    <row r="667" spans="2:9">
      <c r="B667" s="75"/>
      <c r="C667" s="75"/>
      <c r="D667" s="75"/>
      <c r="E667" s="75"/>
      <c r="F667" s="75"/>
      <c r="G667" s="75"/>
      <c r="H667" s="69"/>
      <c r="I667" s="69"/>
    </row>
    <row r="668" spans="2:9">
      <c r="B668" s="75"/>
      <c r="C668" s="75"/>
      <c r="D668" s="75"/>
      <c r="E668" s="75"/>
      <c r="F668" s="75"/>
      <c r="G668" s="75"/>
      <c r="H668" s="69"/>
      <c r="I668" s="69"/>
    </row>
    <row r="669" spans="2:9">
      <c r="B669" s="75"/>
      <c r="C669" s="75"/>
      <c r="D669" s="75"/>
      <c r="E669" s="75"/>
      <c r="F669" s="75"/>
      <c r="G669" s="75"/>
      <c r="H669" s="69"/>
      <c r="I669" s="69"/>
    </row>
    <row r="670" spans="2:9">
      <c r="B670" s="75"/>
      <c r="C670" s="75"/>
      <c r="D670" s="75"/>
      <c r="E670" s="75"/>
      <c r="F670" s="75"/>
      <c r="G670" s="75"/>
      <c r="H670" s="69"/>
      <c r="I670" s="69"/>
    </row>
    <row r="671" spans="2:9">
      <c r="B671" s="75"/>
      <c r="C671" s="75"/>
      <c r="D671" s="75"/>
      <c r="E671" s="75"/>
      <c r="F671" s="75"/>
      <c r="G671" s="75"/>
      <c r="H671" s="69"/>
      <c r="I671" s="69"/>
    </row>
    <row r="672" spans="2:9">
      <c r="B672" s="75"/>
      <c r="C672" s="75"/>
      <c r="D672" s="75"/>
      <c r="E672" s="75"/>
      <c r="F672" s="75"/>
      <c r="G672" s="75"/>
      <c r="H672" s="69"/>
      <c r="I672" s="69"/>
    </row>
    <row r="673" spans="2:9">
      <c r="B673" s="75"/>
      <c r="C673" s="75"/>
      <c r="D673" s="75"/>
      <c r="E673" s="75"/>
      <c r="F673" s="75"/>
      <c r="G673" s="75"/>
      <c r="H673" s="69"/>
      <c r="I673" s="69"/>
    </row>
    <row r="674" spans="2:9">
      <c r="B674" s="75"/>
      <c r="C674" s="75"/>
      <c r="D674" s="75"/>
      <c r="E674" s="75"/>
      <c r="F674" s="75"/>
      <c r="G674" s="75"/>
      <c r="H674" s="69"/>
      <c r="I674" s="69"/>
    </row>
    <row r="675" spans="2:9">
      <c r="B675" s="75"/>
      <c r="C675" s="75"/>
      <c r="D675" s="75"/>
      <c r="E675" s="75"/>
      <c r="F675" s="75"/>
      <c r="G675" s="75"/>
      <c r="H675" s="69"/>
      <c r="I675" s="69"/>
    </row>
    <row r="676" spans="2:9">
      <c r="B676" s="75"/>
      <c r="C676" s="75"/>
      <c r="D676" s="75"/>
      <c r="E676" s="75"/>
      <c r="F676" s="75"/>
      <c r="G676" s="75"/>
      <c r="H676" s="69"/>
      <c r="I676" s="69"/>
    </row>
    <row r="677" spans="2:9">
      <c r="B677" s="75"/>
      <c r="C677" s="75"/>
      <c r="D677" s="75"/>
      <c r="E677" s="75"/>
      <c r="F677" s="75"/>
      <c r="G677" s="75"/>
      <c r="H677" s="69"/>
      <c r="I677" s="69"/>
    </row>
    <row r="678" spans="2:9">
      <c r="B678" s="75"/>
      <c r="C678" s="75"/>
      <c r="D678" s="75"/>
      <c r="E678" s="75"/>
      <c r="F678" s="75"/>
      <c r="G678" s="75"/>
      <c r="H678" s="69"/>
      <c r="I678" s="69"/>
    </row>
    <row r="679" spans="2:9">
      <c r="B679" s="75"/>
      <c r="C679" s="75"/>
      <c r="D679" s="75"/>
      <c r="E679" s="75"/>
      <c r="F679" s="75"/>
      <c r="G679" s="75"/>
      <c r="H679" s="69"/>
      <c r="I679" s="69"/>
    </row>
    <row r="680" spans="2:9">
      <c r="B680" s="75"/>
      <c r="C680" s="75"/>
      <c r="D680" s="75"/>
      <c r="E680" s="75"/>
      <c r="F680" s="75"/>
      <c r="G680" s="75"/>
      <c r="H680" s="69"/>
      <c r="I680" s="69"/>
    </row>
    <row r="681" spans="2:9">
      <c r="B681" s="75"/>
      <c r="C681" s="75"/>
      <c r="D681" s="75"/>
      <c r="E681" s="75"/>
      <c r="F681" s="75"/>
      <c r="G681" s="75"/>
      <c r="H681" s="69"/>
      <c r="I681" s="69"/>
    </row>
    <row r="682" spans="2:9">
      <c r="B682" s="75"/>
      <c r="C682" s="75"/>
      <c r="D682" s="75"/>
      <c r="E682" s="75"/>
      <c r="F682" s="75"/>
      <c r="G682" s="75"/>
      <c r="H682" s="69"/>
      <c r="I682" s="69"/>
    </row>
    <row r="683" spans="2:9">
      <c r="B683" s="75"/>
      <c r="C683" s="75"/>
      <c r="D683" s="75"/>
      <c r="E683" s="75"/>
      <c r="F683" s="75"/>
      <c r="G683" s="75"/>
      <c r="H683" s="69"/>
      <c r="I683" s="69"/>
    </row>
    <row r="684" spans="2:9">
      <c r="B684" s="75"/>
      <c r="C684" s="75"/>
      <c r="D684" s="75"/>
      <c r="E684" s="75"/>
      <c r="F684" s="75"/>
      <c r="G684" s="75"/>
      <c r="H684" s="69"/>
      <c r="I684" s="69"/>
    </row>
    <row r="685" spans="2:9">
      <c r="B685" s="75"/>
      <c r="C685" s="75"/>
      <c r="D685" s="75"/>
      <c r="E685" s="75"/>
      <c r="F685" s="75"/>
      <c r="G685" s="75"/>
      <c r="H685" s="69"/>
      <c r="I685" s="69"/>
    </row>
    <row r="686" spans="2:9">
      <c r="B686" s="75"/>
      <c r="C686" s="75"/>
      <c r="D686" s="75"/>
      <c r="E686" s="75"/>
      <c r="F686" s="75"/>
      <c r="G686" s="75"/>
      <c r="H686" s="69"/>
      <c r="I686" s="69"/>
    </row>
    <row r="687" spans="2:9">
      <c r="B687" s="75"/>
      <c r="C687" s="75"/>
      <c r="D687" s="75"/>
      <c r="E687" s="75"/>
      <c r="F687" s="75"/>
      <c r="G687" s="75"/>
      <c r="H687" s="69"/>
      <c r="I687" s="69"/>
    </row>
    <row r="688" spans="2:9">
      <c r="B688" s="75"/>
      <c r="C688" s="75"/>
      <c r="D688" s="75"/>
      <c r="E688" s="75"/>
      <c r="F688" s="75"/>
      <c r="G688" s="75"/>
      <c r="H688" s="69"/>
      <c r="I688" s="69"/>
    </row>
    <row r="689" spans="2:9">
      <c r="B689" s="75"/>
      <c r="C689" s="75"/>
      <c r="D689" s="75"/>
      <c r="E689" s="75"/>
      <c r="F689" s="75"/>
      <c r="G689" s="75"/>
      <c r="H689" s="69"/>
      <c r="I689" s="69"/>
    </row>
    <row r="690" spans="2:9">
      <c r="B690" s="75"/>
      <c r="C690" s="75"/>
      <c r="D690" s="75"/>
      <c r="E690" s="75"/>
      <c r="F690" s="75"/>
      <c r="G690" s="75"/>
      <c r="H690" s="69"/>
      <c r="I690" s="69"/>
    </row>
    <row r="691" spans="2:9">
      <c r="B691" s="75"/>
      <c r="C691" s="75"/>
      <c r="D691" s="75"/>
      <c r="E691" s="75"/>
      <c r="F691" s="75"/>
      <c r="G691" s="75"/>
      <c r="H691" s="69"/>
      <c r="I691" s="69"/>
    </row>
    <row r="692" spans="2:9">
      <c r="B692" s="75"/>
      <c r="C692" s="75"/>
      <c r="D692" s="75"/>
      <c r="E692" s="75"/>
      <c r="F692" s="75"/>
      <c r="G692" s="75"/>
      <c r="H692" s="69"/>
      <c r="I692" s="69"/>
    </row>
    <row r="693" spans="2:9">
      <c r="B693" s="75"/>
      <c r="C693" s="75"/>
      <c r="D693" s="75"/>
      <c r="E693" s="75"/>
      <c r="F693" s="75"/>
      <c r="G693" s="75"/>
      <c r="H693" s="69"/>
      <c r="I693" s="69"/>
    </row>
    <row r="694" spans="2:9">
      <c r="B694" s="75"/>
      <c r="C694" s="75"/>
      <c r="D694" s="75"/>
      <c r="E694" s="75"/>
      <c r="F694" s="75"/>
      <c r="G694" s="75"/>
      <c r="H694" s="69"/>
      <c r="I694" s="69"/>
    </row>
    <row r="695" spans="2:9">
      <c r="B695" s="75"/>
      <c r="C695" s="75"/>
      <c r="D695" s="75"/>
      <c r="E695" s="75"/>
      <c r="F695" s="75"/>
      <c r="G695" s="75"/>
      <c r="H695" s="69"/>
      <c r="I695" s="69"/>
    </row>
    <row r="696" spans="2:9">
      <c r="B696" s="75"/>
      <c r="C696" s="75"/>
      <c r="D696" s="75"/>
      <c r="E696" s="75"/>
      <c r="F696" s="75"/>
      <c r="G696" s="75"/>
      <c r="H696" s="69"/>
      <c r="I696" s="69"/>
    </row>
    <row r="697" spans="2:9">
      <c r="B697" s="75"/>
      <c r="C697" s="75"/>
      <c r="D697" s="75"/>
      <c r="E697" s="75"/>
      <c r="F697" s="75"/>
      <c r="G697" s="75"/>
      <c r="H697" s="69"/>
      <c r="I697" s="69"/>
    </row>
    <row r="698" spans="2:9">
      <c r="B698" s="75"/>
      <c r="C698" s="75"/>
      <c r="D698" s="75"/>
      <c r="E698" s="75"/>
      <c r="F698" s="75"/>
      <c r="G698" s="75"/>
      <c r="H698" s="69"/>
      <c r="I698" s="69"/>
    </row>
    <row r="699" spans="2:9">
      <c r="B699" s="75"/>
      <c r="C699" s="75"/>
      <c r="D699" s="75"/>
      <c r="E699" s="75"/>
      <c r="F699" s="75"/>
      <c r="G699" s="75"/>
      <c r="H699" s="69"/>
      <c r="I699" s="69"/>
    </row>
    <row r="700" spans="2:9">
      <c r="B700" s="75"/>
      <c r="C700" s="75"/>
      <c r="D700" s="75"/>
      <c r="E700" s="75"/>
      <c r="F700" s="75"/>
      <c r="G700" s="75"/>
      <c r="H700" s="69"/>
      <c r="I700" s="69"/>
    </row>
    <row r="701" spans="2:9">
      <c r="B701" s="75"/>
      <c r="C701" s="75"/>
      <c r="D701" s="75"/>
      <c r="E701" s="75"/>
      <c r="F701" s="75"/>
      <c r="G701" s="75"/>
      <c r="H701" s="69"/>
      <c r="I701" s="69"/>
    </row>
    <row r="702" spans="2:9">
      <c r="B702" s="75"/>
      <c r="C702" s="75"/>
      <c r="D702" s="75"/>
      <c r="E702" s="75"/>
      <c r="F702" s="75"/>
      <c r="G702" s="75"/>
      <c r="H702" s="69"/>
      <c r="I702" s="69"/>
    </row>
    <row r="703" spans="2:9">
      <c r="B703" s="75"/>
      <c r="C703" s="75"/>
      <c r="D703" s="75"/>
      <c r="E703" s="75"/>
      <c r="F703" s="75"/>
      <c r="G703" s="75"/>
      <c r="H703" s="69"/>
      <c r="I703" s="69"/>
    </row>
    <row r="704" spans="2:9">
      <c r="B704" s="75"/>
      <c r="C704" s="75"/>
      <c r="D704" s="75"/>
      <c r="E704" s="75"/>
      <c r="F704" s="75"/>
      <c r="G704" s="75"/>
      <c r="H704" s="69"/>
      <c r="I704" s="69"/>
    </row>
    <row r="705" spans="2:9">
      <c r="B705" s="75"/>
      <c r="C705" s="75"/>
      <c r="D705" s="75"/>
      <c r="E705" s="75"/>
      <c r="F705" s="75"/>
      <c r="G705" s="75"/>
      <c r="H705" s="69"/>
      <c r="I705" s="69"/>
    </row>
    <row r="706" spans="2:9">
      <c r="B706" s="75"/>
      <c r="C706" s="75"/>
      <c r="D706" s="75"/>
      <c r="E706" s="75"/>
      <c r="F706" s="75"/>
      <c r="G706" s="75"/>
      <c r="H706" s="69"/>
      <c r="I706" s="69"/>
    </row>
    <row r="707" spans="2:9">
      <c r="B707" s="75"/>
      <c r="C707" s="75"/>
      <c r="D707" s="75"/>
      <c r="E707" s="75"/>
      <c r="F707" s="75"/>
      <c r="G707" s="75"/>
      <c r="H707" s="69"/>
      <c r="I707" s="69"/>
    </row>
    <row r="708" spans="2:9">
      <c r="B708" s="75"/>
      <c r="C708" s="75"/>
      <c r="D708" s="75"/>
      <c r="E708" s="75"/>
      <c r="F708" s="75"/>
      <c r="G708" s="75"/>
      <c r="H708" s="69"/>
      <c r="I708" s="69"/>
    </row>
    <row r="709" spans="2:9">
      <c r="B709" s="75"/>
      <c r="C709" s="75"/>
      <c r="D709" s="75"/>
      <c r="E709" s="75"/>
      <c r="F709" s="75"/>
      <c r="G709" s="75"/>
      <c r="H709" s="69"/>
      <c r="I709" s="69"/>
    </row>
    <row r="710" spans="2:9">
      <c r="B710" s="75"/>
      <c r="C710" s="75"/>
      <c r="D710" s="75"/>
      <c r="E710" s="75"/>
      <c r="F710" s="75"/>
      <c r="G710" s="75"/>
      <c r="H710" s="69"/>
      <c r="I710" s="69"/>
    </row>
    <row r="711" spans="2:9">
      <c r="B711" s="75"/>
      <c r="C711" s="75"/>
      <c r="D711" s="75"/>
      <c r="E711" s="75"/>
      <c r="F711" s="75"/>
      <c r="G711" s="75"/>
      <c r="H711" s="69"/>
      <c r="I711" s="69"/>
    </row>
    <row r="712" spans="2:9">
      <c r="B712" s="75"/>
      <c r="C712" s="75"/>
      <c r="D712" s="75"/>
      <c r="E712" s="75"/>
      <c r="F712" s="75"/>
      <c r="G712" s="75"/>
      <c r="H712" s="69"/>
      <c r="I712" s="69"/>
    </row>
    <row r="713" spans="2:9">
      <c r="B713" s="75"/>
      <c r="C713" s="75"/>
      <c r="D713" s="75"/>
      <c r="E713" s="75"/>
      <c r="F713" s="75"/>
      <c r="G713" s="75"/>
      <c r="H713" s="69"/>
      <c r="I713" s="69"/>
    </row>
    <row r="714" spans="2:9">
      <c r="B714" s="75"/>
      <c r="C714" s="75"/>
      <c r="D714" s="75"/>
      <c r="E714" s="75"/>
      <c r="F714" s="75"/>
      <c r="G714" s="75"/>
      <c r="H714" s="69"/>
      <c r="I714" s="69"/>
    </row>
    <row r="715" spans="2:9">
      <c r="B715" s="75"/>
      <c r="C715" s="75"/>
      <c r="D715" s="75"/>
      <c r="E715" s="75"/>
      <c r="F715" s="75"/>
      <c r="G715" s="75"/>
      <c r="H715" s="69"/>
      <c r="I715" s="69"/>
    </row>
    <row r="716" spans="2:9">
      <c r="B716" s="75"/>
      <c r="C716" s="75"/>
      <c r="D716" s="75"/>
      <c r="E716" s="75"/>
      <c r="F716" s="75"/>
      <c r="G716" s="75"/>
      <c r="H716" s="69"/>
      <c r="I716" s="69"/>
    </row>
    <row r="717" spans="2:9">
      <c r="B717" s="75"/>
      <c r="C717" s="75"/>
      <c r="D717" s="75"/>
      <c r="E717" s="75"/>
      <c r="F717" s="75"/>
      <c r="G717" s="75"/>
      <c r="H717" s="69"/>
      <c r="I717" s="69"/>
    </row>
    <row r="718" spans="2:9">
      <c r="B718" s="75"/>
      <c r="C718" s="75"/>
      <c r="D718" s="75"/>
      <c r="E718" s="75"/>
      <c r="F718" s="75"/>
      <c r="G718" s="75"/>
      <c r="H718" s="69"/>
      <c r="I718" s="69"/>
    </row>
    <row r="719" spans="2:9">
      <c r="B719" s="75"/>
      <c r="C719" s="75"/>
      <c r="D719" s="75"/>
      <c r="E719" s="75"/>
      <c r="F719" s="75"/>
      <c r="G719" s="75"/>
      <c r="H719" s="69"/>
      <c r="I719" s="69"/>
    </row>
    <row r="720" spans="2:9">
      <c r="B720" s="75"/>
      <c r="C720" s="75"/>
      <c r="D720" s="75"/>
      <c r="E720" s="75"/>
      <c r="F720" s="75"/>
      <c r="G720" s="75"/>
      <c r="H720" s="69"/>
      <c r="I720" s="69"/>
    </row>
    <row r="721" spans="2:9">
      <c r="B721" s="75"/>
      <c r="C721" s="75"/>
      <c r="D721" s="75"/>
      <c r="E721" s="75"/>
      <c r="F721" s="75"/>
      <c r="G721" s="75"/>
      <c r="H721" s="69"/>
      <c r="I721" s="69"/>
    </row>
    <row r="722" spans="2:9">
      <c r="B722" s="75"/>
      <c r="C722" s="75"/>
      <c r="D722" s="75"/>
      <c r="E722" s="75"/>
      <c r="F722" s="75"/>
      <c r="G722" s="75"/>
      <c r="H722" s="69"/>
      <c r="I722" s="69"/>
    </row>
    <row r="723" spans="2:9">
      <c r="B723" s="75"/>
      <c r="C723" s="75"/>
      <c r="D723" s="75"/>
      <c r="E723" s="75"/>
      <c r="F723" s="75"/>
      <c r="G723" s="75"/>
      <c r="H723" s="69"/>
      <c r="I723" s="69"/>
    </row>
    <row r="724" spans="2:9">
      <c r="B724" s="75"/>
      <c r="C724" s="75"/>
      <c r="D724" s="75"/>
      <c r="E724" s="75"/>
      <c r="F724" s="75"/>
      <c r="G724" s="75"/>
      <c r="H724" s="69"/>
      <c r="I724" s="69"/>
    </row>
    <row r="725" spans="2:9">
      <c r="B725" s="75"/>
      <c r="C725" s="75"/>
      <c r="D725" s="75"/>
      <c r="E725" s="75"/>
      <c r="F725" s="75"/>
      <c r="G725" s="75"/>
      <c r="H725" s="69"/>
      <c r="I725" s="69"/>
    </row>
    <row r="726" spans="2:9">
      <c r="B726" s="75"/>
      <c r="C726" s="75"/>
      <c r="D726" s="75"/>
      <c r="E726" s="75"/>
      <c r="F726" s="75"/>
      <c r="G726" s="75"/>
      <c r="H726" s="69"/>
      <c r="I726" s="69"/>
    </row>
    <row r="727" spans="2:9">
      <c r="B727" s="75"/>
      <c r="C727" s="75"/>
      <c r="D727" s="75"/>
      <c r="E727" s="75"/>
      <c r="F727" s="75"/>
      <c r="G727" s="75"/>
      <c r="H727" s="69"/>
      <c r="I727" s="69"/>
    </row>
    <row r="728" spans="2:9">
      <c r="B728" s="75"/>
      <c r="C728" s="75"/>
      <c r="D728" s="75"/>
      <c r="E728" s="75"/>
      <c r="F728" s="75"/>
      <c r="G728" s="75"/>
      <c r="H728" s="69"/>
      <c r="I728" s="69"/>
    </row>
    <row r="729" spans="2:9">
      <c r="B729" s="75"/>
      <c r="C729" s="75"/>
      <c r="D729" s="75"/>
      <c r="E729" s="75"/>
      <c r="F729" s="75"/>
      <c r="G729" s="75"/>
      <c r="H729" s="69"/>
      <c r="I729" s="69"/>
    </row>
    <row r="730" spans="2:9">
      <c r="B730" s="75"/>
      <c r="C730" s="75"/>
      <c r="D730" s="75"/>
      <c r="E730" s="75"/>
      <c r="F730" s="75"/>
      <c r="G730" s="75"/>
      <c r="H730" s="69"/>
      <c r="I730" s="69"/>
    </row>
    <row r="731" spans="2:9">
      <c r="B731" s="75"/>
      <c r="C731" s="75"/>
      <c r="D731" s="75"/>
      <c r="E731" s="75"/>
      <c r="F731" s="75"/>
      <c r="G731" s="75"/>
      <c r="H731" s="69"/>
      <c r="I731" s="69"/>
    </row>
    <row r="732" spans="2:9">
      <c r="B732" s="75"/>
      <c r="C732" s="75"/>
      <c r="D732" s="75"/>
      <c r="E732" s="75"/>
      <c r="F732" s="75"/>
      <c r="G732" s="75"/>
      <c r="H732" s="69"/>
      <c r="I732" s="69"/>
    </row>
    <row r="733" spans="2:9">
      <c r="B733" s="75"/>
      <c r="C733" s="75"/>
      <c r="D733" s="75"/>
      <c r="E733" s="75"/>
      <c r="F733" s="75"/>
      <c r="G733" s="75"/>
      <c r="H733" s="69"/>
      <c r="I733" s="69"/>
    </row>
    <row r="734" spans="2:9">
      <c r="B734" s="75"/>
      <c r="C734" s="75"/>
      <c r="D734" s="75"/>
      <c r="E734" s="75"/>
      <c r="F734" s="75"/>
      <c r="G734" s="75"/>
      <c r="H734" s="69"/>
      <c r="I734" s="69"/>
    </row>
    <row r="735" spans="2:9">
      <c r="B735" s="75"/>
      <c r="C735" s="75"/>
      <c r="D735" s="75"/>
      <c r="E735" s="75"/>
      <c r="F735" s="75"/>
      <c r="G735" s="75"/>
      <c r="H735" s="69"/>
      <c r="I735" s="69"/>
    </row>
    <row r="736" spans="2:9">
      <c r="B736" s="75"/>
      <c r="C736" s="75"/>
      <c r="D736" s="75"/>
      <c r="E736" s="75"/>
      <c r="F736" s="75"/>
      <c r="G736" s="75"/>
      <c r="H736" s="69"/>
      <c r="I736" s="69"/>
    </row>
    <row r="737" spans="2:9">
      <c r="B737" s="75"/>
      <c r="C737" s="75"/>
      <c r="D737" s="75"/>
      <c r="E737" s="75"/>
      <c r="F737" s="75"/>
      <c r="G737" s="75"/>
      <c r="H737" s="69"/>
      <c r="I737" s="69"/>
    </row>
    <row r="738" spans="2:9">
      <c r="B738" s="75"/>
      <c r="C738" s="75"/>
      <c r="D738" s="75"/>
      <c r="E738" s="75"/>
      <c r="F738" s="75"/>
      <c r="G738" s="75"/>
      <c r="H738" s="69"/>
      <c r="I738" s="69"/>
    </row>
    <row r="739" spans="2:9">
      <c r="B739" s="75"/>
      <c r="C739" s="75"/>
      <c r="D739" s="75"/>
      <c r="E739" s="75"/>
      <c r="F739" s="75"/>
      <c r="G739" s="75"/>
      <c r="H739" s="69"/>
      <c r="I739" s="69"/>
    </row>
    <row r="740" spans="2:9">
      <c r="B740" s="75"/>
      <c r="C740" s="75"/>
      <c r="D740" s="75"/>
      <c r="E740" s="75"/>
      <c r="F740" s="75"/>
      <c r="G740" s="75"/>
      <c r="H740" s="69"/>
      <c r="I740" s="69"/>
    </row>
    <row r="741" spans="2:9">
      <c r="B741" s="75"/>
      <c r="C741" s="75"/>
      <c r="D741" s="75"/>
      <c r="E741" s="75"/>
      <c r="F741" s="75"/>
      <c r="G741" s="75"/>
      <c r="H741" s="69"/>
      <c r="I741" s="69"/>
    </row>
    <row r="742" spans="2:9">
      <c r="B742" s="75"/>
      <c r="C742" s="75"/>
      <c r="D742" s="75"/>
      <c r="E742" s="75"/>
      <c r="F742" s="75"/>
      <c r="G742" s="75"/>
      <c r="H742" s="69"/>
      <c r="I742" s="69"/>
    </row>
    <row r="743" spans="2:9">
      <c r="B743" s="75"/>
      <c r="C743" s="75"/>
      <c r="D743" s="75"/>
      <c r="E743" s="75"/>
      <c r="F743" s="75"/>
      <c r="G743" s="75"/>
      <c r="H743" s="69"/>
      <c r="I743" s="69"/>
    </row>
    <row r="744" spans="2:9">
      <c r="B744" s="75"/>
      <c r="C744" s="75"/>
      <c r="D744" s="75"/>
      <c r="E744" s="75"/>
      <c r="F744" s="75"/>
      <c r="G744" s="75"/>
      <c r="H744" s="69"/>
      <c r="I744" s="69"/>
    </row>
    <row r="745" spans="2:9">
      <c r="B745" s="75"/>
      <c r="C745" s="75"/>
      <c r="D745" s="75"/>
      <c r="E745" s="75"/>
      <c r="F745" s="75"/>
      <c r="G745" s="75"/>
      <c r="H745" s="69"/>
      <c r="I745" s="69"/>
    </row>
    <row r="746" spans="2:9">
      <c r="B746" s="75"/>
      <c r="C746" s="75"/>
      <c r="D746" s="75"/>
      <c r="E746" s="75"/>
      <c r="F746" s="75"/>
      <c r="G746" s="75"/>
      <c r="H746" s="69"/>
      <c r="I746" s="69"/>
    </row>
    <row r="747" spans="2:9">
      <c r="B747" s="75"/>
      <c r="C747" s="75"/>
      <c r="D747" s="75"/>
      <c r="E747" s="75"/>
      <c r="F747" s="75"/>
      <c r="G747" s="75"/>
      <c r="H747" s="69"/>
      <c r="I747" s="69"/>
    </row>
    <row r="748" spans="2:9">
      <c r="B748" s="75"/>
      <c r="C748" s="75"/>
      <c r="D748" s="75"/>
      <c r="E748" s="75"/>
      <c r="F748" s="75"/>
      <c r="G748" s="75"/>
      <c r="H748" s="69"/>
      <c r="I748" s="69"/>
    </row>
    <row r="749" spans="2:9">
      <c r="B749" s="75"/>
      <c r="C749" s="75"/>
      <c r="D749" s="75"/>
      <c r="E749" s="75"/>
      <c r="F749" s="75"/>
      <c r="G749" s="75"/>
      <c r="H749" s="69"/>
      <c r="I749" s="69"/>
    </row>
    <row r="750" spans="2:9">
      <c r="B750" s="75"/>
      <c r="C750" s="75"/>
      <c r="D750" s="75"/>
      <c r="E750" s="75"/>
      <c r="F750" s="75"/>
      <c r="G750" s="75"/>
      <c r="H750" s="69"/>
      <c r="I750" s="69"/>
    </row>
    <row r="751" spans="2:9">
      <c r="B751" s="75"/>
      <c r="C751" s="75"/>
      <c r="D751" s="75"/>
      <c r="E751" s="75"/>
      <c r="F751" s="75"/>
      <c r="G751" s="75"/>
      <c r="H751" s="69"/>
      <c r="I751" s="69"/>
    </row>
    <row r="752" spans="2:9">
      <c r="B752" s="75"/>
      <c r="C752" s="75"/>
      <c r="D752" s="75"/>
      <c r="E752" s="75"/>
      <c r="F752" s="75"/>
      <c r="G752" s="75"/>
      <c r="H752" s="69"/>
      <c r="I752" s="69"/>
    </row>
    <row r="753" spans="2:9">
      <c r="B753" s="75"/>
      <c r="C753" s="75"/>
      <c r="D753" s="75"/>
      <c r="E753" s="75"/>
      <c r="F753" s="75"/>
      <c r="G753" s="75"/>
      <c r="H753" s="69"/>
      <c r="I753" s="69"/>
    </row>
    <row r="754" spans="2:9">
      <c r="B754" s="75"/>
      <c r="C754" s="75"/>
      <c r="D754" s="75"/>
      <c r="E754" s="75"/>
      <c r="F754" s="75"/>
      <c r="G754" s="75"/>
      <c r="H754" s="69"/>
      <c r="I754" s="69"/>
    </row>
    <row r="755" spans="2:9">
      <c r="B755" s="75"/>
      <c r="C755" s="75"/>
      <c r="D755" s="75"/>
      <c r="E755" s="75"/>
      <c r="F755" s="75"/>
      <c r="G755" s="75"/>
      <c r="H755" s="69"/>
      <c r="I755" s="69"/>
    </row>
    <row r="756" spans="2:9">
      <c r="B756" s="75"/>
      <c r="C756" s="75"/>
      <c r="D756" s="75"/>
      <c r="E756" s="75"/>
      <c r="F756" s="75"/>
      <c r="G756" s="75"/>
      <c r="H756" s="69"/>
      <c r="I756" s="69"/>
    </row>
    <row r="757" spans="2:9">
      <c r="B757" s="75"/>
      <c r="C757" s="75"/>
      <c r="D757" s="75"/>
      <c r="E757" s="75"/>
      <c r="F757" s="75"/>
      <c r="G757" s="75"/>
      <c r="H757" s="69"/>
      <c r="I757" s="69"/>
    </row>
    <row r="758" spans="2:9">
      <c r="B758" s="75"/>
      <c r="C758" s="75"/>
      <c r="D758" s="75"/>
      <c r="E758" s="75"/>
      <c r="F758" s="75"/>
      <c r="G758" s="75"/>
      <c r="H758" s="69"/>
      <c r="I758" s="69"/>
    </row>
    <row r="759" spans="2:9">
      <c r="B759" s="75"/>
      <c r="C759" s="75"/>
      <c r="D759" s="75"/>
      <c r="E759" s="75"/>
      <c r="F759" s="75"/>
      <c r="G759" s="75"/>
      <c r="H759" s="69"/>
      <c r="I759" s="69"/>
    </row>
    <row r="760" spans="2:9">
      <c r="B760" s="75"/>
      <c r="C760" s="75"/>
      <c r="D760" s="75"/>
      <c r="E760" s="75"/>
      <c r="F760" s="75"/>
      <c r="G760" s="75"/>
      <c r="H760" s="69"/>
      <c r="I760" s="69"/>
    </row>
    <row r="761" spans="2:9">
      <c r="B761" s="75"/>
      <c r="C761" s="75"/>
      <c r="D761" s="75"/>
      <c r="E761" s="75"/>
      <c r="F761" s="75"/>
      <c r="G761" s="75"/>
      <c r="H761" s="69"/>
      <c r="I761" s="69"/>
    </row>
    <row r="762" spans="2:9">
      <c r="B762" s="75"/>
      <c r="C762" s="75"/>
      <c r="D762" s="75"/>
      <c r="E762" s="75"/>
      <c r="F762" s="75"/>
      <c r="G762" s="75"/>
      <c r="H762" s="69"/>
      <c r="I762" s="69"/>
    </row>
    <row r="763" spans="2:9">
      <c r="B763" s="75"/>
      <c r="C763" s="75"/>
      <c r="D763" s="75"/>
      <c r="E763" s="75"/>
      <c r="F763" s="75"/>
      <c r="G763" s="75"/>
      <c r="H763" s="69"/>
      <c r="I763" s="69"/>
    </row>
    <row r="764" spans="2:9">
      <c r="B764" s="75"/>
      <c r="C764" s="75"/>
      <c r="D764" s="75"/>
      <c r="E764" s="75"/>
      <c r="F764" s="75"/>
      <c r="G764" s="75"/>
      <c r="H764" s="69"/>
      <c r="I764" s="69"/>
    </row>
    <row r="765" spans="2:9">
      <c r="B765" s="75"/>
      <c r="C765" s="75"/>
      <c r="D765" s="75"/>
      <c r="E765" s="75"/>
      <c r="F765" s="75"/>
      <c r="G765" s="75"/>
      <c r="H765" s="69"/>
      <c r="I765" s="69"/>
    </row>
    <row r="766" spans="2:9">
      <c r="B766" s="75"/>
      <c r="C766" s="75"/>
      <c r="D766" s="75"/>
      <c r="E766" s="75"/>
      <c r="F766" s="75"/>
      <c r="G766" s="75"/>
      <c r="H766" s="69"/>
      <c r="I766" s="69"/>
    </row>
    <row r="767" spans="2:9">
      <c r="B767" s="75"/>
      <c r="C767" s="75"/>
      <c r="D767" s="75"/>
      <c r="E767" s="75"/>
      <c r="F767" s="75"/>
      <c r="G767" s="75"/>
      <c r="H767" s="69"/>
      <c r="I767" s="69"/>
    </row>
    <row r="768" spans="2:9">
      <c r="B768" s="75"/>
      <c r="C768" s="75"/>
      <c r="D768" s="75"/>
      <c r="E768" s="75"/>
      <c r="F768" s="75"/>
      <c r="G768" s="75"/>
      <c r="H768" s="69"/>
      <c r="I768" s="69"/>
    </row>
    <row r="769" spans="2:9">
      <c r="B769" s="75"/>
      <c r="C769" s="75"/>
      <c r="D769" s="75"/>
      <c r="E769" s="75"/>
      <c r="F769" s="75"/>
      <c r="G769" s="75"/>
      <c r="H769" s="69"/>
      <c r="I769" s="69"/>
    </row>
    <row r="770" spans="2:9">
      <c r="B770" s="75"/>
      <c r="C770" s="75"/>
      <c r="D770" s="75"/>
      <c r="E770" s="75"/>
      <c r="F770" s="75"/>
      <c r="G770" s="75"/>
      <c r="H770" s="69"/>
      <c r="I770" s="69"/>
    </row>
    <row r="771" spans="2:9">
      <c r="B771" s="75"/>
      <c r="C771" s="75"/>
      <c r="D771" s="75"/>
      <c r="E771" s="75"/>
      <c r="F771" s="75"/>
      <c r="G771" s="75"/>
      <c r="H771" s="69"/>
      <c r="I771" s="69"/>
    </row>
    <row r="772" spans="2:9">
      <c r="B772" s="75"/>
      <c r="C772" s="75"/>
      <c r="D772" s="75"/>
      <c r="E772" s="75"/>
      <c r="F772" s="75"/>
      <c r="G772" s="75"/>
      <c r="H772" s="69"/>
      <c r="I772" s="69"/>
    </row>
    <row r="773" spans="2:9">
      <c r="B773" s="75"/>
      <c r="C773" s="75"/>
      <c r="D773" s="75"/>
      <c r="E773" s="75"/>
      <c r="F773" s="75"/>
      <c r="G773" s="75"/>
      <c r="H773" s="69"/>
      <c r="I773" s="69"/>
    </row>
    <row r="774" spans="2:9">
      <c r="B774" s="75"/>
      <c r="C774" s="75"/>
      <c r="D774" s="75"/>
      <c r="E774" s="75"/>
      <c r="F774" s="75"/>
      <c r="G774" s="75"/>
      <c r="H774" s="69"/>
      <c r="I774" s="69"/>
    </row>
    <row r="775" spans="2:9">
      <c r="B775" s="75"/>
      <c r="C775" s="75"/>
      <c r="D775" s="75"/>
      <c r="E775" s="75"/>
      <c r="F775" s="75"/>
      <c r="G775" s="75"/>
      <c r="H775" s="69"/>
      <c r="I775" s="69"/>
    </row>
    <row r="776" spans="2:9">
      <c r="B776" s="75"/>
      <c r="C776" s="75"/>
      <c r="D776" s="75"/>
      <c r="E776" s="75"/>
      <c r="F776" s="75"/>
      <c r="G776" s="75"/>
      <c r="H776" s="69"/>
      <c r="I776" s="69"/>
    </row>
    <row r="777" spans="2:9">
      <c r="B777" s="75"/>
      <c r="C777" s="75"/>
      <c r="D777" s="75"/>
      <c r="E777" s="75"/>
      <c r="F777" s="75"/>
      <c r="G777" s="75"/>
      <c r="H777" s="69"/>
      <c r="I777" s="69"/>
    </row>
    <row r="778" spans="2:9">
      <c r="B778" s="75"/>
      <c r="C778" s="75"/>
      <c r="D778" s="75"/>
      <c r="E778" s="75"/>
      <c r="F778" s="75"/>
      <c r="G778" s="75"/>
      <c r="H778" s="69"/>
      <c r="I778" s="69"/>
    </row>
    <row r="779" spans="2:9">
      <c r="B779" s="75"/>
      <c r="C779" s="75"/>
      <c r="D779" s="75"/>
      <c r="E779" s="75"/>
      <c r="F779" s="75"/>
      <c r="G779" s="75"/>
      <c r="H779" s="69"/>
      <c r="I779" s="69"/>
    </row>
    <row r="780" spans="2:9">
      <c r="B780" s="75"/>
      <c r="C780" s="75"/>
      <c r="D780" s="75"/>
      <c r="E780" s="75"/>
      <c r="F780" s="75"/>
      <c r="G780" s="75"/>
      <c r="H780" s="69"/>
      <c r="I780" s="69"/>
    </row>
    <row r="781" spans="2:9">
      <c r="B781" s="75"/>
      <c r="C781" s="75"/>
      <c r="D781" s="75"/>
      <c r="E781" s="75"/>
      <c r="F781" s="75"/>
      <c r="G781" s="75"/>
      <c r="H781" s="69"/>
      <c r="I781" s="69"/>
    </row>
    <row r="782" spans="2:9">
      <c r="B782" s="75"/>
      <c r="C782" s="75"/>
      <c r="D782" s="75"/>
      <c r="E782" s="75"/>
      <c r="F782" s="75"/>
      <c r="G782" s="75"/>
      <c r="H782" s="69"/>
      <c r="I782" s="69"/>
    </row>
    <row r="783" spans="2:9">
      <c r="B783" s="75"/>
      <c r="C783" s="75"/>
      <c r="D783" s="75"/>
      <c r="E783" s="75"/>
      <c r="F783" s="75"/>
      <c r="G783" s="75"/>
      <c r="H783" s="69"/>
      <c r="I783" s="69"/>
    </row>
    <row r="784" spans="2:9">
      <c r="B784" s="75"/>
      <c r="C784" s="75"/>
      <c r="D784" s="75"/>
      <c r="E784" s="75"/>
      <c r="F784" s="75"/>
      <c r="G784" s="75"/>
      <c r="H784" s="69"/>
      <c r="I784" s="69"/>
    </row>
    <row r="785" spans="2:9">
      <c r="B785" s="75"/>
      <c r="C785" s="75"/>
      <c r="D785" s="75"/>
      <c r="E785" s="75"/>
      <c r="F785" s="75"/>
      <c r="G785" s="75"/>
      <c r="H785" s="69"/>
      <c r="I785" s="69"/>
    </row>
    <row r="786" spans="2:9">
      <c r="B786" s="75"/>
      <c r="C786" s="75"/>
      <c r="D786" s="75"/>
      <c r="E786" s="75"/>
      <c r="F786" s="75"/>
      <c r="G786" s="75"/>
      <c r="H786" s="69"/>
      <c r="I786" s="69"/>
    </row>
    <row r="787" spans="2:9">
      <c r="B787" s="75"/>
      <c r="C787" s="75"/>
      <c r="D787" s="75"/>
      <c r="E787" s="75"/>
      <c r="F787" s="75"/>
      <c r="G787" s="75"/>
      <c r="H787" s="69"/>
      <c r="I787" s="69"/>
    </row>
    <row r="788" spans="2:9">
      <c r="B788" s="75"/>
      <c r="C788" s="75"/>
      <c r="D788" s="75"/>
      <c r="E788" s="75"/>
      <c r="F788" s="75"/>
      <c r="G788" s="75"/>
      <c r="H788" s="69"/>
      <c r="I788" s="69"/>
    </row>
    <row r="789" spans="2:9">
      <c r="B789" s="75"/>
      <c r="C789" s="75"/>
      <c r="D789" s="75"/>
      <c r="E789" s="75"/>
      <c r="F789" s="75"/>
      <c r="G789" s="75"/>
      <c r="H789" s="69"/>
      <c r="I789" s="69"/>
    </row>
    <row r="790" spans="2:9">
      <c r="B790" s="75"/>
      <c r="C790" s="75"/>
      <c r="D790" s="75"/>
      <c r="E790" s="75"/>
      <c r="F790" s="75"/>
      <c r="G790" s="75"/>
      <c r="H790" s="69"/>
      <c r="I790" s="69"/>
    </row>
    <row r="791" spans="2:9">
      <c r="B791" s="75"/>
      <c r="C791" s="75"/>
      <c r="D791" s="75"/>
      <c r="E791" s="75"/>
      <c r="F791" s="75"/>
      <c r="G791" s="75"/>
      <c r="H791" s="69"/>
      <c r="I791" s="69"/>
    </row>
    <row r="792" spans="2:9">
      <c r="B792" s="75"/>
      <c r="C792" s="75"/>
      <c r="D792" s="75"/>
      <c r="E792" s="75"/>
      <c r="F792" s="75"/>
      <c r="G792" s="75"/>
      <c r="H792" s="69"/>
      <c r="I792" s="69"/>
    </row>
    <row r="793" spans="2:9">
      <c r="B793" s="75"/>
      <c r="C793" s="75"/>
      <c r="D793" s="75"/>
      <c r="E793" s="75"/>
      <c r="F793" s="75"/>
      <c r="G793" s="75"/>
      <c r="H793" s="69"/>
      <c r="I793" s="69"/>
    </row>
    <row r="794" spans="2:9">
      <c r="B794" s="75"/>
      <c r="C794" s="75"/>
      <c r="D794" s="75"/>
      <c r="E794" s="75"/>
      <c r="F794" s="75"/>
      <c r="G794" s="75"/>
      <c r="H794" s="69"/>
      <c r="I794" s="69"/>
    </row>
    <row r="795" spans="2:9">
      <c r="B795" s="75"/>
      <c r="C795" s="75"/>
      <c r="D795" s="75"/>
      <c r="E795" s="75"/>
      <c r="F795" s="75"/>
      <c r="G795" s="75"/>
      <c r="H795" s="69"/>
      <c r="I795" s="69"/>
    </row>
    <row r="796" spans="2:9">
      <c r="B796" s="111"/>
      <c r="C796" s="111"/>
      <c r="D796" s="111"/>
      <c r="E796" s="111"/>
      <c r="F796" s="111"/>
      <c r="G796" s="111"/>
      <c r="H796" s="69"/>
      <c r="I796" s="69"/>
    </row>
    <row r="797" spans="2:9">
      <c r="B797" s="111"/>
      <c r="C797" s="111"/>
      <c r="D797" s="111"/>
      <c r="E797" s="111"/>
      <c r="F797" s="111"/>
      <c r="G797" s="111"/>
      <c r="H797" s="69"/>
      <c r="I797" s="69"/>
    </row>
    <row r="798" spans="2:9">
      <c r="B798" s="111"/>
      <c r="C798" s="111"/>
      <c r="D798" s="111"/>
      <c r="E798" s="111"/>
      <c r="F798" s="111"/>
      <c r="G798" s="111"/>
      <c r="H798" s="69"/>
      <c r="I798" s="69"/>
    </row>
    <row r="799" spans="2:9">
      <c r="B799" s="111"/>
      <c r="C799" s="111"/>
      <c r="D799" s="111"/>
      <c r="E799" s="111"/>
      <c r="F799" s="111"/>
      <c r="G799" s="111"/>
      <c r="H799" s="69"/>
      <c r="I799" s="69"/>
    </row>
    <row r="800" spans="2:9">
      <c r="B800" s="111"/>
      <c r="C800" s="111"/>
      <c r="D800" s="111"/>
      <c r="E800" s="111"/>
      <c r="F800" s="111"/>
      <c r="G800" s="111"/>
      <c r="H800" s="69"/>
      <c r="I800" s="69"/>
    </row>
    <row r="801" spans="2:9">
      <c r="B801" s="111"/>
      <c r="C801" s="111"/>
      <c r="D801" s="111"/>
      <c r="E801" s="111"/>
      <c r="F801" s="111"/>
      <c r="G801" s="111"/>
      <c r="H801" s="69"/>
      <c r="I801" s="69"/>
    </row>
    <row r="802" spans="2:9">
      <c r="B802" s="111"/>
      <c r="C802" s="111"/>
      <c r="D802" s="111"/>
      <c r="E802" s="111"/>
      <c r="F802" s="111"/>
      <c r="G802" s="111"/>
      <c r="H802" s="69"/>
      <c r="I802" s="69"/>
    </row>
    <row r="803" spans="2:9">
      <c r="B803" s="111"/>
      <c r="C803" s="111"/>
      <c r="D803" s="111"/>
      <c r="E803" s="111"/>
      <c r="F803" s="111"/>
      <c r="G803" s="111"/>
      <c r="H803" s="69"/>
      <c r="I803" s="69"/>
    </row>
    <row r="804" spans="2:9">
      <c r="B804" s="111"/>
      <c r="C804" s="111"/>
      <c r="D804" s="111"/>
      <c r="E804" s="111"/>
      <c r="F804" s="111"/>
      <c r="G804" s="111"/>
      <c r="H804" s="69"/>
      <c r="I804" s="69"/>
    </row>
    <row r="805" spans="2:9">
      <c r="B805" s="111"/>
      <c r="C805" s="111"/>
      <c r="D805" s="111"/>
      <c r="E805" s="111"/>
      <c r="F805" s="111"/>
      <c r="G805" s="111"/>
      <c r="H805" s="69"/>
      <c r="I805" s="69"/>
    </row>
    <row r="806" spans="2:9">
      <c r="B806" s="111"/>
      <c r="C806" s="111"/>
      <c r="D806" s="111"/>
      <c r="E806" s="111"/>
      <c r="F806" s="111"/>
      <c r="G806" s="111"/>
      <c r="H806" s="69"/>
      <c r="I806" s="69"/>
    </row>
    <row r="807" spans="2:9">
      <c r="B807" s="111"/>
      <c r="C807" s="111"/>
      <c r="D807" s="111"/>
      <c r="E807" s="111"/>
      <c r="F807" s="111"/>
      <c r="G807" s="111"/>
      <c r="H807" s="69"/>
      <c r="I807" s="69"/>
    </row>
    <row r="808" spans="2:9">
      <c r="B808" s="111"/>
      <c r="C808" s="111"/>
      <c r="D808" s="111"/>
      <c r="E808" s="111"/>
      <c r="F808" s="111"/>
      <c r="G808" s="111"/>
      <c r="H808" s="69"/>
      <c r="I808" s="69"/>
    </row>
    <row r="809" spans="2:9">
      <c r="B809" s="111"/>
      <c r="C809" s="111"/>
      <c r="D809" s="111"/>
      <c r="E809" s="111"/>
      <c r="F809" s="111"/>
      <c r="G809" s="111"/>
      <c r="H809" s="69"/>
      <c r="I809" s="69"/>
    </row>
    <row r="810" spans="2:9">
      <c r="B810" s="111"/>
      <c r="C810" s="111"/>
      <c r="D810" s="111"/>
      <c r="E810" s="111"/>
      <c r="F810" s="111"/>
      <c r="G810" s="111"/>
      <c r="H810" s="69"/>
      <c r="I810" s="69"/>
    </row>
    <row r="811" spans="2:9">
      <c r="B811" s="111"/>
      <c r="C811" s="111"/>
      <c r="D811" s="111"/>
      <c r="E811" s="111"/>
      <c r="F811" s="111"/>
      <c r="G811" s="111"/>
      <c r="H811" s="69"/>
      <c r="I811" s="69"/>
    </row>
    <row r="812" spans="2:9">
      <c r="B812" s="111"/>
      <c r="C812" s="111"/>
      <c r="D812" s="111"/>
      <c r="E812" s="111"/>
      <c r="F812" s="111"/>
      <c r="G812" s="111"/>
      <c r="H812" s="69"/>
      <c r="I812" s="69"/>
    </row>
    <row r="813" spans="2:9">
      <c r="B813" s="111"/>
      <c r="C813" s="111"/>
      <c r="D813" s="111"/>
      <c r="E813" s="111"/>
      <c r="F813" s="111"/>
      <c r="G813" s="111"/>
      <c r="H813" s="69"/>
      <c r="I813" s="69"/>
    </row>
    <row r="814" spans="2:9">
      <c r="B814" s="111"/>
      <c r="C814" s="111"/>
      <c r="D814" s="111"/>
      <c r="E814" s="111"/>
      <c r="F814" s="111"/>
      <c r="G814" s="111"/>
      <c r="H814" s="69"/>
      <c r="I814" s="69"/>
    </row>
    <row r="815" spans="2:9">
      <c r="B815" s="111"/>
      <c r="C815" s="111"/>
      <c r="D815" s="111"/>
      <c r="E815" s="111"/>
      <c r="F815" s="111"/>
      <c r="G815" s="111"/>
      <c r="H815" s="69"/>
      <c r="I815" s="69"/>
    </row>
    <row r="816" spans="2:9">
      <c r="B816" s="111"/>
      <c r="C816" s="111"/>
      <c r="D816" s="111"/>
      <c r="E816" s="111"/>
      <c r="F816" s="111"/>
      <c r="G816" s="111"/>
      <c r="H816" s="69"/>
      <c r="I816" s="69"/>
    </row>
    <row r="817" spans="2:9">
      <c r="B817" s="111"/>
      <c r="C817" s="111"/>
      <c r="D817" s="111"/>
      <c r="E817" s="111"/>
      <c r="F817" s="111"/>
      <c r="G817" s="111"/>
      <c r="H817" s="69"/>
      <c r="I817" s="69"/>
    </row>
    <row r="818" spans="2:9">
      <c r="B818" s="111"/>
      <c r="C818" s="111"/>
      <c r="D818" s="111"/>
      <c r="E818" s="111"/>
      <c r="F818" s="111"/>
      <c r="G818" s="111"/>
      <c r="H818" s="69"/>
      <c r="I818" s="69"/>
    </row>
    <row r="819" spans="2:9">
      <c r="B819" s="111"/>
      <c r="C819" s="111"/>
      <c r="D819" s="111"/>
      <c r="E819" s="111"/>
      <c r="F819" s="111"/>
      <c r="G819" s="111"/>
      <c r="H819" s="69"/>
      <c r="I819" s="69"/>
    </row>
    <row r="820" spans="2:9">
      <c r="B820" s="111"/>
      <c r="C820" s="111"/>
      <c r="D820" s="111"/>
      <c r="E820" s="111"/>
      <c r="F820" s="111"/>
      <c r="G820" s="111"/>
      <c r="H820" s="69"/>
      <c r="I820" s="69"/>
    </row>
    <row r="821" spans="2:9">
      <c r="B821" s="111"/>
      <c r="C821" s="111"/>
      <c r="D821" s="111"/>
      <c r="E821" s="111"/>
      <c r="F821" s="111"/>
      <c r="G821" s="111"/>
      <c r="H821" s="69"/>
      <c r="I821" s="69"/>
    </row>
    <row r="822" spans="2:9">
      <c r="B822" s="111"/>
      <c r="C822" s="111"/>
      <c r="D822" s="111"/>
      <c r="E822" s="111"/>
      <c r="F822" s="111"/>
      <c r="G822" s="111"/>
      <c r="H822" s="69"/>
      <c r="I822" s="69"/>
    </row>
    <row r="823" spans="2:9">
      <c r="B823" s="111"/>
      <c r="C823" s="111"/>
      <c r="D823" s="111"/>
      <c r="E823" s="111"/>
      <c r="F823" s="111"/>
      <c r="G823" s="111"/>
      <c r="H823" s="69"/>
      <c r="I823" s="69"/>
    </row>
    <row r="824" spans="2:9">
      <c r="B824" s="111"/>
      <c r="C824" s="111"/>
      <c r="D824" s="111"/>
      <c r="E824" s="111"/>
      <c r="F824" s="111"/>
      <c r="G824" s="111"/>
      <c r="H824" s="69"/>
      <c r="I824" s="69"/>
    </row>
    <row r="825" spans="2:9">
      <c r="B825" s="111"/>
      <c r="C825" s="111"/>
      <c r="D825" s="111"/>
      <c r="E825" s="111"/>
      <c r="F825" s="111"/>
      <c r="G825" s="111"/>
      <c r="H825" s="69"/>
      <c r="I825" s="69"/>
    </row>
    <row r="826" spans="2:9">
      <c r="B826" s="111"/>
      <c r="C826" s="111"/>
      <c r="D826" s="111"/>
      <c r="E826" s="111"/>
      <c r="F826" s="111"/>
      <c r="G826" s="111"/>
      <c r="H826" s="69"/>
      <c r="I826" s="69"/>
    </row>
    <row r="827" spans="2:9">
      <c r="B827" s="111"/>
      <c r="C827" s="111"/>
      <c r="D827" s="111"/>
      <c r="E827" s="111"/>
      <c r="F827" s="111"/>
      <c r="G827" s="111"/>
      <c r="H827" s="69"/>
      <c r="I827" s="69"/>
    </row>
    <row r="828" spans="2:9">
      <c r="B828" s="111"/>
      <c r="C828" s="111"/>
      <c r="D828" s="111"/>
      <c r="E828" s="111"/>
      <c r="F828" s="111"/>
      <c r="G828" s="111"/>
      <c r="H828" s="69"/>
      <c r="I828" s="69"/>
    </row>
    <row r="829" spans="2:9">
      <c r="B829" s="111"/>
      <c r="C829" s="111"/>
      <c r="D829" s="111"/>
      <c r="E829" s="111"/>
      <c r="F829" s="111"/>
      <c r="G829" s="111"/>
      <c r="H829" s="69"/>
      <c r="I829" s="69"/>
    </row>
    <row r="830" spans="2:9">
      <c r="B830" s="111"/>
      <c r="C830" s="111"/>
      <c r="D830" s="111"/>
      <c r="E830" s="111"/>
      <c r="F830" s="111"/>
      <c r="G830" s="111"/>
      <c r="H830" s="69"/>
      <c r="I830" s="69"/>
    </row>
    <row r="831" spans="2:9">
      <c r="B831" s="111"/>
      <c r="C831" s="111"/>
      <c r="D831" s="111"/>
      <c r="E831" s="111"/>
      <c r="F831" s="111"/>
      <c r="G831" s="111"/>
      <c r="H831" s="69"/>
      <c r="I831" s="69"/>
    </row>
    <row r="832" spans="2:9">
      <c r="B832" s="111"/>
      <c r="C832" s="111"/>
      <c r="D832" s="111"/>
      <c r="E832" s="111"/>
      <c r="F832" s="111"/>
      <c r="G832" s="111"/>
      <c r="H832" s="69"/>
      <c r="I832" s="69"/>
    </row>
    <row r="833" spans="2:9">
      <c r="B833" s="111"/>
      <c r="C833" s="111"/>
      <c r="D833" s="111"/>
      <c r="E833" s="111"/>
      <c r="F833" s="111"/>
      <c r="G833" s="111"/>
      <c r="H833" s="69"/>
      <c r="I833" s="69"/>
    </row>
    <row r="834" spans="2:9">
      <c r="B834" s="111"/>
      <c r="C834" s="111"/>
      <c r="D834" s="111"/>
      <c r="E834" s="111"/>
      <c r="F834" s="111"/>
      <c r="G834" s="111"/>
      <c r="H834" s="69"/>
      <c r="I834" s="69"/>
    </row>
    <row r="835" spans="2:9">
      <c r="B835" s="111"/>
      <c r="C835" s="111"/>
      <c r="D835" s="111"/>
      <c r="E835" s="111"/>
      <c r="F835" s="111"/>
      <c r="G835" s="111"/>
      <c r="H835" s="69"/>
      <c r="I835" s="69"/>
    </row>
    <row r="836" spans="2:9">
      <c r="B836" s="111"/>
      <c r="C836" s="111"/>
      <c r="D836" s="111"/>
      <c r="E836" s="111"/>
      <c r="F836" s="111"/>
      <c r="G836" s="111"/>
      <c r="H836" s="69"/>
      <c r="I836" s="69"/>
    </row>
    <row r="837" spans="2:9">
      <c r="B837" s="111"/>
      <c r="C837" s="111"/>
      <c r="D837" s="111"/>
      <c r="E837" s="111"/>
      <c r="F837" s="111"/>
      <c r="G837" s="111"/>
      <c r="H837" s="69"/>
      <c r="I837" s="69"/>
    </row>
    <row r="838" spans="2:9">
      <c r="B838" s="111"/>
      <c r="C838" s="111"/>
      <c r="D838" s="111"/>
      <c r="E838" s="111"/>
      <c r="F838" s="111"/>
      <c r="G838" s="111"/>
      <c r="H838" s="69"/>
      <c r="I838" s="69"/>
    </row>
    <row r="839" spans="2:9">
      <c r="B839" s="111"/>
      <c r="C839" s="111"/>
      <c r="D839" s="111"/>
      <c r="E839" s="111"/>
      <c r="F839" s="111"/>
      <c r="G839" s="111"/>
      <c r="H839" s="69"/>
      <c r="I839" s="69"/>
    </row>
    <row r="840" spans="2:9">
      <c r="B840" s="111"/>
      <c r="C840" s="111"/>
      <c r="D840" s="111"/>
      <c r="E840" s="111"/>
      <c r="F840" s="111"/>
      <c r="G840" s="111"/>
      <c r="H840" s="69"/>
      <c r="I840" s="69"/>
    </row>
    <row r="841" spans="2:9">
      <c r="B841" s="111"/>
      <c r="C841" s="111"/>
      <c r="D841" s="111"/>
      <c r="E841" s="111"/>
      <c r="F841" s="111"/>
      <c r="G841" s="111"/>
      <c r="H841" s="69"/>
      <c r="I841" s="69"/>
    </row>
    <row r="842" spans="2:9">
      <c r="B842" s="111"/>
      <c r="C842" s="111"/>
      <c r="D842" s="111"/>
      <c r="E842" s="111"/>
      <c r="F842" s="111"/>
      <c r="G842" s="111"/>
      <c r="H842" s="69"/>
      <c r="I842" s="69"/>
    </row>
    <row r="843" spans="2:9">
      <c r="B843" s="111"/>
      <c r="C843" s="111"/>
      <c r="D843" s="111"/>
      <c r="E843" s="111"/>
      <c r="F843" s="111"/>
      <c r="G843" s="111"/>
      <c r="H843" s="69"/>
      <c r="I843" s="69"/>
    </row>
    <row r="844" spans="2:9">
      <c r="B844" s="111"/>
      <c r="C844" s="111"/>
      <c r="D844" s="111"/>
      <c r="E844" s="111"/>
      <c r="F844" s="111"/>
      <c r="G844" s="111"/>
      <c r="H844" s="69"/>
      <c r="I844" s="69"/>
    </row>
    <row r="845" spans="2:9">
      <c r="B845" s="111"/>
      <c r="C845" s="111"/>
      <c r="D845" s="111"/>
      <c r="E845" s="111"/>
      <c r="F845" s="111"/>
      <c r="G845" s="111"/>
      <c r="H845" s="69"/>
      <c r="I845" s="69"/>
    </row>
    <row r="846" spans="2:9">
      <c r="B846" s="111"/>
      <c r="C846" s="111"/>
      <c r="D846" s="111"/>
      <c r="E846" s="111"/>
      <c r="F846" s="111"/>
      <c r="G846" s="111"/>
      <c r="H846" s="69"/>
      <c r="I846" s="69"/>
    </row>
    <row r="847" spans="2:9">
      <c r="B847" s="111"/>
      <c r="C847" s="111"/>
      <c r="D847" s="111"/>
      <c r="E847" s="111"/>
      <c r="F847" s="111"/>
      <c r="G847" s="111"/>
      <c r="H847" s="69"/>
      <c r="I847" s="69"/>
    </row>
    <row r="848" spans="2:9">
      <c r="B848" s="111"/>
      <c r="C848" s="111"/>
      <c r="D848" s="111"/>
      <c r="E848" s="111"/>
      <c r="F848" s="111"/>
      <c r="G848" s="111"/>
      <c r="H848" s="69"/>
      <c r="I848" s="69"/>
    </row>
    <row r="849" spans="2:9">
      <c r="B849" s="111"/>
      <c r="C849" s="111"/>
      <c r="D849" s="111"/>
      <c r="E849" s="111"/>
      <c r="F849" s="111"/>
      <c r="G849" s="111"/>
      <c r="H849" s="69"/>
      <c r="I849" s="69"/>
    </row>
    <row r="850" spans="2:9">
      <c r="B850" s="111"/>
      <c r="C850" s="111"/>
      <c r="D850" s="111"/>
      <c r="E850" s="111"/>
      <c r="F850" s="111"/>
      <c r="G850" s="111"/>
      <c r="H850" s="69"/>
      <c r="I850" s="69"/>
    </row>
    <row r="851" spans="2:9">
      <c r="B851" s="111"/>
      <c r="C851" s="111"/>
      <c r="D851" s="111"/>
      <c r="E851" s="111"/>
      <c r="F851" s="111"/>
      <c r="G851" s="111"/>
      <c r="H851" s="69"/>
      <c r="I851" s="69"/>
    </row>
    <row r="852" spans="2:9">
      <c r="B852" s="111"/>
      <c r="C852" s="111"/>
      <c r="D852" s="111"/>
      <c r="E852" s="111"/>
      <c r="F852" s="111"/>
      <c r="G852" s="111"/>
      <c r="H852" s="69"/>
      <c r="I852" s="69"/>
    </row>
    <row r="853" spans="2:9">
      <c r="B853" s="111"/>
      <c r="C853" s="111"/>
      <c r="D853" s="111"/>
      <c r="E853" s="111"/>
      <c r="F853" s="111"/>
      <c r="G853" s="111"/>
      <c r="H853" s="69"/>
      <c r="I853" s="69"/>
    </row>
    <row r="854" spans="2:9">
      <c r="B854" s="111"/>
      <c r="C854" s="111"/>
      <c r="D854" s="111"/>
      <c r="E854" s="111"/>
      <c r="F854" s="111"/>
      <c r="G854" s="111"/>
      <c r="H854" s="69"/>
      <c r="I854" s="69"/>
    </row>
    <row r="855" spans="2:9">
      <c r="B855" s="111"/>
      <c r="C855" s="111"/>
      <c r="D855" s="111"/>
      <c r="E855" s="111"/>
      <c r="F855" s="111"/>
      <c r="G855" s="111"/>
      <c r="H855" s="69"/>
      <c r="I855" s="69"/>
    </row>
    <row r="856" spans="2:9">
      <c r="B856" s="111"/>
      <c r="C856" s="111"/>
      <c r="D856" s="111"/>
      <c r="E856" s="111"/>
      <c r="F856" s="111"/>
      <c r="G856" s="111"/>
      <c r="H856" s="69"/>
      <c r="I856" s="69"/>
    </row>
    <row r="857" spans="2:9">
      <c r="B857" s="111"/>
      <c r="C857" s="111"/>
      <c r="D857" s="111"/>
      <c r="E857" s="111"/>
      <c r="F857" s="111"/>
      <c r="G857" s="111"/>
      <c r="H857" s="69"/>
      <c r="I857" s="69"/>
    </row>
    <row r="858" spans="2:9">
      <c r="B858" s="111"/>
      <c r="C858" s="111"/>
      <c r="D858" s="111"/>
      <c r="E858" s="111"/>
      <c r="F858" s="111"/>
      <c r="G858" s="111"/>
      <c r="H858" s="69"/>
      <c r="I858" s="69"/>
    </row>
    <row r="859" spans="2:9">
      <c r="B859" s="111"/>
      <c r="C859" s="111"/>
      <c r="D859" s="111"/>
      <c r="E859" s="111"/>
      <c r="F859" s="111"/>
      <c r="G859" s="111"/>
      <c r="H859" s="69"/>
      <c r="I859" s="69"/>
    </row>
    <row r="860" spans="2:9">
      <c r="B860" s="111"/>
      <c r="C860" s="111"/>
      <c r="D860" s="111"/>
      <c r="E860" s="111"/>
      <c r="F860" s="111"/>
      <c r="G860" s="111"/>
      <c r="H860" s="69"/>
      <c r="I860" s="69"/>
    </row>
    <row r="861" spans="2:9">
      <c r="B861" s="111"/>
      <c r="C861" s="111"/>
      <c r="D861" s="111"/>
      <c r="E861" s="111"/>
      <c r="F861" s="111"/>
      <c r="G861" s="111"/>
      <c r="H861" s="69"/>
      <c r="I861" s="69"/>
    </row>
    <row r="862" spans="2:9">
      <c r="B862" s="111"/>
      <c r="C862" s="111"/>
      <c r="D862" s="111"/>
      <c r="E862" s="111"/>
      <c r="F862" s="111"/>
      <c r="G862" s="111"/>
      <c r="H862" s="69"/>
      <c r="I862" s="69"/>
    </row>
    <row r="863" spans="2:9">
      <c r="B863" s="111"/>
      <c r="C863" s="111"/>
      <c r="D863" s="111"/>
      <c r="E863" s="111"/>
      <c r="F863" s="111"/>
      <c r="G863" s="111"/>
      <c r="H863" s="69"/>
      <c r="I863" s="69"/>
    </row>
    <row r="864" spans="2:9">
      <c r="B864" s="111"/>
      <c r="C864" s="111"/>
      <c r="D864" s="111"/>
      <c r="E864" s="111"/>
      <c r="F864" s="111"/>
      <c r="G864" s="111"/>
      <c r="H864" s="69"/>
      <c r="I864" s="69"/>
    </row>
    <row r="865" spans="2:9">
      <c r="B865" s="111"/>
      <c r="C865" s="111"/>
      <c r="D865" s="111"/>
      <c r="E865" s="111"/>
      <c r="F865" s="111"/>
      <c r="G865" s="111"/>
      <c r="H865" s="69"/>
      <c r="I865" s="69"/>
    </row>
    <row r="866" spans="2:9">
      <c r="B866" s="111"/>
      <c r="C866" s="111"/>
      <c r="D866" s="111"/>
      <c r="E866" s="111"/>
      <c r="F866" s="111"/>
      <c r="G866" s="111"/>
      <c r="H866" s="69"/>
      <c r="I866" s="69"/>
    </row>
    <row r="867" spans="2:9">
      <c r="B867" s="111"/>
      <c r="C867" s="111"/>
      <c r="D867" s="111"/>
      <c r="E867" s="111"/>
      <c r="F867" s="111"/>
      <c r="G867" s="111"/>
      <c r="H867" s="69"/>
      <c r="I867" s="69"/>
    </row>
    <row r="868" spans="2:9">
      <c r="B868" s="111"/>
      <c r="C868" s="111"/>
      <c r="D868" s="111"/>
      <c r="E868" s="111"/>
      <c r="F868" s="111"/>
      <c r="G868" s="111"/>
      <c r="H868" s="69"/>
      <c r="I868" s="69"/>
    </row>
    <row r="869" spans="2:9">
      <c r="B869" s="111"/>
      <c r="C869" s="111"/>
      <c r="D869" s="111"/>
      <c r="E869" s="111"/>
      <c r="F869" s="111"/>
      <c r="G869" s="111"/>
      <c r="H869" s="69"/>
      <c r="I869" s="69"/>
    </row>
    <row r="870" spans="2:9">
      <c r="B870" s="111"/>
      <c r="C870" s="111"/>
      <c r="D870" s="111"/>
      <c r="E870" s="111"/>
      <c r="F870" s="111"/>
      <c r="G870" s="111"/>
      <c r="H870" s="69"/>
      <c r="I870" s="69"/>
    </row>
    <row r="871" spans="2:9">
      <c r="B871" s="111"/>
      <c r="C871" s="111"/>
      <c r="D871" s="111"/>
      <c r="E871" s="111"/>
      <c r="F871" s="111"/>
      <c r="G871" s="111"/>
      <c r="H871" s="69"/>
      <c r="I871" s="69"/>
    </row>
    <row r="872" spans="2:9">
      <c r="B872" s="111"/>
      <c r="C872" s="111"/>
      <c r="D872" s="111"/>
      <c r="E872" s="111"/>
      <c r="F872" s="111"/>
      <c r="G872" s="111"/>
      <c r="H872" s="69"/>
      <c r="I872" s="69"/>
    </row>
    <row r="873" spans="2:9">
      <c r="B873" s="111"/>
      <c r="C873" s="111"/>
      <c r="D873" s="111"/>
      <c r="E873" s="111"/>
      <c r="F873" s="111"/>
      <c r="G873" s="111"/>
      <c r="H873" s="69"/>
      <c r="I873" s="69"/>
    </row>
    <row r="874" spans="2:9">
      <c r="B874" s="111"/>
      <c r="C874" s="111"/>
      <c r="D874" s="111"/>
      <c r="E874" s="111"/>
      <c r="F874" s="111"/>
      <c r="G874" s="111"/>
      <c r="H874" s="69"/>
      <c r="I874" s="69"/>
    </row>
    <row r="875" spans="2:9">
      <c r="B875" s="111"/>
      <c r="C875" s="111"/>
      <c r="D875" s="111"/>
      <c r="E875" s="111"/>
      <c r="F875" s="111"/>
      <c r="G875" s="111"/>
      <c r="H875" s="69"/>
      <c r="I875" s="69"/>
    </row>
    <row r="876" spans="2:9">
      <c r="B876" s="111"/>
      <c r="C876" s="111"/>
      <c r="D876" s="111"/>
      <c r="E876" s="111"/>
      <c r="F876" s="111"/>
      <c r="G876" s="111"/>
      <c r="H876" s="69"/>
      <c r="I876" s="69"/>
    </row>
    <row r="877" spans="2:9">
      <c r="B877" s="111"/>
      <c r="C877" s="111"/>
      <c r="D877" s="111"/>
      <c r="E877" s="111"/>
      <c r="F877" s="111"/>
      <c r="G877" s="111"/>
      <c r="H877" s="69"/>
      <c r="I877" s="69"/>
    </row>
    <row r="878" spans="2:9">
      <c r="B878" s="111"/>
      <c r="C878" s="111"/>
      <c r="D878" s="111"/>
      <c r="E878" s="111"/>
      <c r="F878" s="111"/>
      <c r="G878" s="111"/>
      <c r="H878" s="69"/>
      <c r="I878" s="69"/>
    </row>
    <row r="879" spans="2:9">
      <c r="B879" s="111"/>
      <c r="C879" s="111"/>
      <c r="D879" s="111"/>
      <c r="E879" s="111"/>
      <c r="F879" s="111"/>
      <c r="G879" s="111"/>
      <c r="H879" s="69"/>
      <c r="I879" s="69"/>
    </row>
    <row r="880" spans="2:9">
      <c r="B880" s="111"/>
      <c r="C880" s="111"/>
      <c r="D880" s="111"/>
      <c r="E880" s="111"/>
      <c r="F880" s="111"/>
      <c r="G880" s="111"/>
      <c r="H880" s="69"/>
      <c r="I880" s="69"/>
    </row>
    <row r="881" spans="2:9">
      <c r="B881" s="111"/>
      <c r="C881" s="111"/>
      <c r="D881" s="111"/>
      <c r="E881" s="111"/>
      <c r="F881" s="111"/>
      <c r="G881" s="111"/>
      <c r="H881" s="69"/>
      <c r="I881" s="69"/>
    </row>
    <row r="882" spans="2:9">
      <c r="B882" s="111"/>
      <c r="C882" s="111"/>
      <c r="D882" s="111"/>
      <c r="E882" s="111"/>
      <c r="F882" s="111"/>
      <c r="G882" s="111"/>
      <c r="H882" s="69"/>
      <c r="I882" s="69"/>
    </row>
    <row r="883" spans="2:9">
      <c r="B883" s="111"/>
      <c r="C883" s="111"/>
      <c r="D883" s="111"/>
      <c r="E883" s="111"/>
      <c r="F883" s="111"/>
      <c r="G883" s="111"/>
      <c r="H883" s="69"/>
      <c r="I883" s="69"/>
    </row>
    <row r="884" spans="2:9">
      <c r="B884" s="111"/>
      <c r="C884" s="111"/>
      <c r="D884" s="111"/>
      <c r="E884" s="111"/>
      <c r="F884" s="111"/>
      <c r="G884" s="111"/>
      <c r="H884" s="69"/>
      <c r="I884" s="69"/>
    </row>
    <row r="885" spans="2:9">
      <c r="B885" s="111"/>
      <c r="C885" s="111"/>
      <c r="D885" s="111"/>
      <c r="E885" s="111"/>
      <c r="F885" s="111"/>
      <c r="G885" s="111"/>
      <c r="H885" s="69"/>
      <c r="I885" s="69"/>
    </row>
    <row r="886" spans="2:9">
      <c r="B886" s="111"/>
      <c r="C886" s="111"/>
      <c r="D886" s="111"/>
      <c r="E886" s="111"/>
      <c r="F886" s="111"/>
      <c r="G886" s="111"/>
      <c r="H886" s="69"/>
      <c r="I886" s="69"/>
    </row>
    <row r="887" spans="2:9">
      <c r="B887" s="111"/>
      <c r="C887" s="111"/>
      <c r="D887" s="111"/>
      <c r="E887" s="111"/>
      <c r="F887" s="111"/>
      <c r="G887" s="111"/>
      <c r="H887" s="69"/>
      <c r="I887" s="69"/>
    </row>
    <row r="888" spans="2:9">
      <c r="B888" s="111"/>
      <c r="C888" s="111"/>
      <c r="D888" s="111"/>
      <c r="E888" s="111"/>
      <c r="F888" s="111"/>
      <c r="G888" s="111"/>
      <c r="H888" s="69"/>
      <c r="I888" s="69"/>
    </row>
    <row r="889" spans="2:9">
      <c r="B889" s="111"/>
      <c r="C889" s="111"/>
      <c r="D889" s="111"/>
      <c r="E889" s="111"/>
      <c r="F889" s="111"/>
      <c r="G889" s="111"/>
      <c r="H889" s="69"/>
      <c r="I889" s="69"/>
    </row>
    <row r="890" spans="2:9">
      <c r="B890" s="111"/>
      <c r="C890" s="111"/>
      <c r="D890" s="111"/>
      <c r="E890" s="111"/>
      <c r="F890" s="111"/>
      <c r="G890" s="111"/>
      <c r="H890" s="69"/>
      <c r="I890" s="69"/>
    </row>
    <row r="891" spans="2:9">
      <c r="B891" s="111"/>
      <c r="C891" s="111"/>
      <c r="D891" s="111"/>
      <c r="E891" s="111"/>
      <c r="F891" s="111"/>
      <c r="G891" s="111"/>
      <c r="H891" s="69"/>
      <c r="I891" s="69"/>
    </row>
    <row r="892" spans="2:9">
      <c r="B892" s="111"/>
      <c r="C892" s="111"/>
      <c r="D892" s="111"/>
      <c r="E892" s="111"/>
      <c r="F892" s="111"/>
      <c r="G892" s="111"/>
      <c r="H892" s="69"/>
      <c r="I892" s="69"/>
    </row>
    <row r="893" spans="2:9">
      <c r="B893" s="111"/>
      <c r="C893" s="111"/>
      <c r="D893" s="111"/>
      <c r="E893" s="111"/>
      <c r="F893" s="111"/>
      <c r="G893" s="111"/>
      <c r="H893" s="69"/>
      <c r="I893" s="69"/>
    </row>
    <row r="894" spans="2:9">
      <c r="B894" s="111"/>
      <c r="C894" s="111"/>
      <c r="D894" s="111"/>
      <c r="E894" s="111"/>
      <c r="F894" s="111"/>
      <c r="G894" s="111"/>
      <c r="H894" s="69"/>
      <c r="I894" s="69"/>
    </row>
    <row r="895" spans="2:9">
      <c r="B895" s="111"/>
      <c r="C895" s="111"/>
      <c r="D895" s="111"/>
      <c r="E895" s="111"/>
      <c r="F895" s="111"/>
      <c r="G895" s="111"/>
      <c r="H895" s="69"/>
      <c r="I895" s="69"/>
    </row>
    <row r="896" spans="2:9">
      <c r="B896" s="111"/>
      <c r="C896" s="111"/>
      <c r="D896" s="111"/>
      <c r="E896" s="111"/>
      <c r="F896" s="111"/>
      <c r="G896" s="111"/>
      <c r="H896" s="69"/>
      <c r="I896" s="69"/>
    </row>
    <row r="897" spans="2:9">
      <c r="B897" s="111"/>
      <c r="C897" s="111"/>
      <c r="D897" s="111"/>
      <c r="E897" s="111"/>
      <c r="F897" s="111"/>
      <c r="G897" s="111"/>
      <c r="H897" s="69"/>
      <c r="I897" s="69"/>
    </row>
    <row r="898" spans="2:9">
      <c r="B898" s="111"/>
      <c r="C898" s="111"/>
      <c r="D898" s="111"/>
      <c r="E898" s="111"/>
      <c r="F898" s="111"/>
      <c r="G898" s="111"/>
      <c r="H898" s="69"/>
      <c r="I898" s="69"/>
    </row>
    <row r="899" spans="2:9">
      <c r="B899" s="111"/>
      <c r="C899" s="111"/>
      <c r="D899" s="111"/>
      <c r="E899" s="111"/>
      <c r="F899" s="111"/>
      <c r="G899" s="111"/>
      <c r="H899" s="69"/>
      <c r="I899" s="69"/>
    </row>
    <row r="900" spans="2:9">
      <c r="B900" s="111"/>
      <c r="C900" s="111"/>
      <c r="D900" s="111"/>
      <c r="E900" s="111"/>
      <c r="F900" s="111"/>
      <c r="G900" s="111"/>
      <c r="H900" s="69"/>
      <c r="I900" s="69"/>
    </row>
    <row r="901" spans="2:9">
      <c r="B901" s="111"/>
      <c r="C901" s="111"/>
      <c r="D901" s="111"/>
      <c r="E901" s="111"/>
      <c r="F901" s="111"/>
      <c r="G901" s="111"/>
      <c r="H901" s="69"/>
      <c r="I901" s="69"/>
    </row>
    <row r="902" spans="2:9">
      <c r="B902" s="111"/>
      <c r="C902" s="111"/>
      <c r="D902" s="111"/>
      <c r="E902" s="111"/>
      <c r="F902" s="111"/>
      <c r="G902" s="111"/>
      <c r="H902" s="69"/>
      <c r="I902" s="69"/>
    </row>
    <row r="903" spans="2:9">
      <c r="B903" s="111"/>
      <c r="C903" s="111"/>
      <c r="D903" s="111"/>
      <c r="E903" s="111"/>
      <c r="F903" s="111"/>
      <c r="G903" s="111"/>
      <c r="H903" s="69"/>
      <c r="I903" s="69"/>
    </row>
    <row r="904" spans="2:9">
      <c r="B904" s="111"/>
      <c r="C904" s="111"/>
      <c r="D904" s="111"/>
      <c r="E904" s="111"/>
      <c r="F904" s="111"/>
      <c r="G904" s="111"/>
      <c r="H904" s="69"/>
      <c r="I904" s="69"/>
    </row>
    <row r="905" spans="2:9">
      <c r="B905" s="111"/>
      <c r="C905" s="111"/>
      <c r="D905" s="111"/>
      <c r="E905" s="111"/>
      <c r="F905" s="111"/>
      <c r="G905" s="111"/>
      <c r="H905" s="69"/>
      <c r="I905" s="69"/>
    </row>
    <row r="906" spans="2:9">
      <c r="B906" s="111"/>
      <c r="C906" s="111"/>
      <c r="D906" s="111"/>
      <c r="E906" s="111"/>
      <c r="F906" s="111"/>
      <c r="G906" s="111"/>
      <c r="H906" s="69"/>
      <c r="I906" s="69"/>
    </row>
    <row r="907" spans="2:9">
      <c r="B907" s="111"/>
      <c r="C907" s="111"/>
      <c r="D907" s="111"/>
      <c r="E907" s="111"/>
      <c r="F907" s="111"/>
      <c r="G907" s="111"/>
      <c r="H907" s="69"/>
      <c r="I907" s="69"/>
    </row>
    <row r="908" spans="2:9">
      <c r="B908" s="111"/>
      <c r="C908" s="111"/>
      <c r="D908" s="111"/>
      <c r="E908" s="111"/>
      <c r="F908" s="111"/>
      <c r="G908" s="111"/>
      <c r="H908" s="69"/>
      <c r="I908" s="69"/>
    </row>
    <row r="909" spans="2:9">
      <c r="B909" s="111"/>
      <c r="C909" s="111"/>
      <c r="D909" s="111"/>
      <c r="E909" s="111"/>
      <c r="F909" s="111"/>
      <c r="G909" s="111"/>
      <c r="H909" s="69"/>
      <c r="I909" s="69"/>
    </row>
    <row r="910" spans="2:9">
      <c r="B910" s="111"/>
      <c r="C910" s="111"/>
      <c r="D910" s="111"/>
      <c r="E910" s="111"/>
      <c r="F910" s="111"/>
      <c r="G910" s="111"/>
      <c r="H910" s="69"/>
      <c r="I910" s="69"/>
    </row>
    <row r="911" spans="2:9">
      <c r="B911" s="111"/>
      <c r="C911" s="111"/>
      <c r="D911" s="111"/>
      <c r="E911" s="111"/>
      <c r="F911" s="111"/>
      <c r="G911" s="111"/>
      <c r="H911" s="69"/>
      <c r="I911" s="69"/>
    </row>
    <row r="912" spans="2:9">
      <c r="B912" s="111"/>
      <c r="C912" s="111"/>
      <c r="D912" s="111"/>
      <c r="E912" s="111"/>
      <c r="F912" s="111"/>
      <c r="G912" s="111"/>
      <c r="H912" s="69"/>
      <c r="I912" s="69"/>
    </row>
    <row r="913" spans="2:9">
      <c r="B913" s="111"/>
      <c r="C913" s="111"/>
      <c r="D913" s="111"/>
      <c r="E913" s="111"/>
      <c r="F913" s="111"/>
      <c r="G913" s="111"/>
      <c r="H913" s="69"/>
      <c r="I913" s="69"/>
    </row>
    <row r="914" spans="2:9">
      <c r="B914" s="111"/>
      <c r="C914" s="111"/>
      <c r="D914" s="111"/>
      <c r="E914" s="111"/>
      <c r="F914" s="111"/>
      <c r="G914" s="111"/>
      <c r="H914" s="69"/>
      <c r="I914" s="69"/>
    </row>
    <row r="915" spans="2:9">
      <c r="B915" s="111"/>
      <c r="C915" s="111"/>
      <c r="D915" s="111"/>
      <c r="E915" s="111"/>
      <c r="F915" s="111"/>
      <c r="G915" s="111"/>
      <c r="H915" s="69"/>
      <c r="I915" s="69"/>
    </row>
    <row r="916" spans="2:9">
      <c r="B916" s="111"/>
      <c r="C916" s="111"/>
      <c r="D916" s="111"/>
      <c r="E916" s="111"/>
      <c r="F916" s="111"/>
      <c r="G916" s="111"/>
      <c r="H916" s="69"/>
      <c r="I916" s="69"/>
    </row>
    <row r="917" spans="2:9">
      <c r="B917" s="111"/>
      <c r="C917" s="111"/>
      <c r="D917" s="111"/>
      <c r="E917" s="111"/>
      <c r="F917" s="111"/>
      <c r="G917" s="111"/>
      <c r="H917" s="69"/>
      <c r="I917" s="69"/>
    </row>
    <row r="918" spans="2:9">
      <c r="B918" s="111"/>
      <c r="C918" s="111"/>
      <c r="D918" s="111"/>
      <c r="E918" s="111"/>
      <c r="F918" s="111"/>
      <c r="G918" s="111"/>
      <c r="H918" s="69"/>
      <c r="I918" s="69"/>
    </row>
    <row r="919" spans="2:9">
      <c r="B919" s="111"/>
      <c r="C919" s="111"/>
      <c r="D919" s="111"/>
      <c r="E919" s="111"/>
      <c r="F919" s="111"/>
      <c r="G919" s="111"/>
      <c r="H919" s="69"/>
      <c r="I919" s="69"/>
    </row>
    <row r="920" spans="2:9">
      <c r="B920" s="111"/>
      <c r="C920" s="111"/>
      <c r="D920" s="111"/>
      <c r="E920" s="111"/>
      <c r="F920" s="111"/>
      <c r="G920" s="111"/>
      <c r="H920" s="69"/>
      <c r="I920" s="69"/>
    </row>
    <row r="921" spans="2:9">
      <c r="B921" s="111"/>
      <c r="C921" s="111"/>
      <c r="D921" s="111"/>
      <c r="E921" s="111"/>
      <c r="F921" s="111"/>
      <c r="G921" s="111"/>
      <c r="H921" s="69"/>
      <c r="I921" s="69"/>
    </row>
    <row r="922" spans="2:9">
      <c r="B922" s="111"/>
      <c r="C922" s="111"/>
      <c r="D922" s="111"/>
      <c r="E922" s="111"/>
      <c r="F922" s="111"/>
      <c r="G922" s="111"/>
      <c r="H922" s="69"/>
      <c r="I922" s="69"/>
    </row>
    <row r="923" spans="2:9">
      <c r="B923" s="111"/>
      <c r="C923" s="111"/>
      <c r="D923" s="111"/>
      <c r="E923" s="111"/>
      <c r="F923" s="111"/>
      <c r="G923" s="111"/>
      <c r="H923" s="69"/>
      <c r="I923" s="69"/>
    </row>
    <row r="924" spans="2:9">
      <c r="B924" s="111"/>
      <c r="C924" s="111"/>
      <c r="D924" s="111"/>
      <c r="E924" s="111"/>
      <c r="F924" s="111"/>
      <c r="G924" s="111"/>
      <c r="H924" s="69"/>
      <c r="I924" s="69"/>
    </row>
    <row r="925" spans="2:9">
      <c r="B925" s="111"/>
      <c r="C925" s="111"/>
      <c r="D925" s="111"/>
      <c r="E925" s="111"/>
      <c r="F925" s="111"/>
      <c r="G925" s="111"/>
      <c r="H925" s="69"/>
      <c r="I925" s="69"/>
    </row>
    <row r="926" spans="2:9">
      <c r="B926" s="111"/>
      <c r="C926" s="111"/>
      <c r="D926" s="111"/>
      <c r="E926" s="111"/>
      <c r="F926" s="111"/>
      <c r="G926" s="111"/>
      <c r="H926" s="69"/>
      <c r="I926" s="69"/>
    </row>
    <row r="927" spans="2:9">
      <c r="B927" s="111"/>
      <c r="C927" s="111"/>
      <c r="D927" s="111"/>
      <c r="E927" s="111"/>
      <c r="F927" s="111"/>
      <c r="G927" s="111"/>
      <c r="H927" s="69"/>
      <c r="I927" s="69"/>
    </row>
    <row r="928" spans="2:9">
      <c r="B928" s="111"/>
      <c r="C928" s="111"/>
      <c r="D928" s="111"/>
      <c r="E928" s="111"/>
      <c r="F928" s="111"/>
      <c r="G928" s="111"/>
      <c r="H928" s="69"/>
      <c r="I928" s="69"/>
    </row>
    <row r="929" spans="2:9">
      <c r="B929" s="111"/>
      <c r="C929" s="111"/>
      <c r="D929" s="111"/>
      <c r="E929" s="111"/>
      <c r="F929" s="111"/>
      <c r="G929" s="111"/>
      <c r="H929" s="69"/>
      <c r="I929" s="69"/>
    </row>
    <row r="930" spans="2:9">
      <c r="B930" s="111"/>
      <c r="C930" s="111"/>
      <c r="D930" s="111"/>
      <c r="E930" s="111"/>
      <c r="F930" s="111"/>
      <c r="G930" s="111"/>
      <c r="H930" s="69"/>
      <c r="I930" s="69"/>
    </row>
    <row r="931" spans="2:9">
      <c r="B931" s="111"/>
      <c r="C931" s="111"/>
      <c r="D931" s="111"/>
      <c r="E931" s="111"/>
      <c r="F931" s="111"/>
      <c r="G931" s="111"/>
      <c r="H931" s="69"/>
      <c r="I931" s="69"/>
    </row>
    <row r="932" spans="2:9">
      <c r="B932" s="111"/>
      <c r="C932" s="111"/>
      <c r="D932" s="111"/>
      <c r="E932" s="111"/>
      <c r="F932" s="111"/>
      <c r="G932" s="111"/>
      <c r="H932" s="69"/>
      <c r="I932" s="69"/>
    </row>
    <row r="933" spans="2:9">
      <c r="B933" s="111"/>
      <c r="C933" s="111"/>
      <c r="D933" s="111"/>
      <c r="E933" s="111"/>
      <c r="F933" s="111"/>
      <c r="G933" s="111"/>
      <c r="H933" s="69"/>
      <c r="I933" s="69"/>
    </row>
    <row r="934" spans="2:9">
      <c r="B934" s="111"/>
      <c r="C934" s="111"/>
      <c r="D934" s="111"/>
      <c r="E934" s="111"/>
      <c r="F934" s="111"/>
      <c r="G934" s="111"/>
      <c r="H934" s="69"/>
      <c r="I934" s="69"/>
    </row>
    <row r="935" spans="2:9">
      <c r="B935" s="111"/>
      <c r="C935" s="111"/>
      <c r="D935" s="111"/>
      <c r="E935" s="111"/>
      <c r="F935" s="111"/>
      <c r="G935" s="111"/>
      <c r="H935" s="69"/>
      <c r="I935" s="69"/>
    </row>
    <row r="936" spans="2:9">
      <c r="B936" s="111"/>
      <c r="C936" s="111"/>
      <c r="D936" s="111"/>
      <c r="E936" s="111"/>
      <c r="F936" s="111"/>
      <c r="G936" s="111"/>
      <c r="H936" s="69"/>
      <c r="I936" s="69"/>
    </row>
    <row r="937" spans="2:9">
      <c r="B937" s="111"/>
      <c r="C937" s="111"/>
      <c r="D937" s="111"/>
      <c r="E937" s="111"/>
      <c r="F937" s="111"/>
      <c r="G937" s="111"/>
      <c r="H937" s="69"/>
      <c r="I937" s="69"/>
    </row>
    <row r="938" spans="2:9">
      <c r="B938" s="111"/>
      <c r="C938" s="111"/>
      <c r="D938" s="111"/>
      <c r="E938" s="111"/>
      <c r="F938" s="111"/>
      <c r="G938" s="111"/>
      <c r="H938" s="69"/>
      <c r="I938" s="69"/>
    </row>
    <row r="939" spans="2:9">
      <c r="B939" s="111"/>
      <c r="C939" s="111"/>
      <c r="D939" s="111"/>
      <c r="E939" s="111"/>
      <c r="F939" s="111"/>
      <c r="G939" s="111"/>
      <c r="H939" s="69"/>
      <c r="I939" s="69"/>
    </row>
    <row r="940" spans="2:9">
      <c r="B940" s="111"/>
      <c r="C940" s="111"/>
      <c r="D940" s="111"/>
      <c r="E940" s="111"/>
      <c r="F940" s="111"/>
      <c r="G940" s="111"/>
      <c r="H940" s="69"/>
      <c r="I940" s="69"/>
    </row>
    <row r="941" spans="2:9">
      <c r="B941" s="111"/>
      <c r="C941" s="111"/>
      <c r="D941" s="111"/>
      <c r="E941" s="111"/>
      <c r="F941" s="111"/>
      <c r="G941" s="111"/>
      <c r="H941" s="69"/>
      <c r="I941" s="69"/>
    </row>
    <row r="942" spans="2:9">
      <c r="B942" s="111"/>
      <c r="C942" s="111"/>
      <c r="D942" s="111"/>
      <c r="E942" s="111"/>
      <c r="F942" s="111"/>
      <c r="G942" s="111"/>
      <c r="H942" s="69"/>
      <c r="I942" s="69"/>
    </row>
    <row r="943" spans="2:9">
      <c r="B943" s="111"/>
      <c r="C943" s="111"/>
      <c r="D943" s="111"/>
      <c r="E943" s="111"/>
      <c r="F943" s="111"/>
      <c r="G943" s="111"/>
      <c r="H943" s="69"/>
      <c r="I943" s="69"/>
    </row>
    <row r="944" spans="2:9">
      <c r="B944" s="111"/>
      <c r="C944" s="111"/>
      <c r="D944" s="111"/>
      <c r="E944" s="111"/>
      <c r="F944" s="111"/>
      <c r="G944" s="111"/>
      <c r="H944" s="69"/>
      <c r="I944" s="69"/>
    </row>
    <row r="945" spans="2:9">
      <c r="B945" s="111"/>
      <c r="C945" s="111"/>
      <c r="D945" s="111"/>
      <c r="E945" s="111"/>
      <c r="F945" s="111"/>
      <c r="G945" s="111"/>
      <c r="H945" s="69"/>
      <c r="I945" s="69"/>
    </row>
    <row r="946" spans="2:9">
      <c r="B946" s="111"/>
      <c r="C946" s="111"/>
      <c r="D946" s="111"/>
      <c r="E946" s="111"/>
      <c r="F946" s="111"/>
      <c r="G946" s="111"/>
      <c r="H946" s="69"/>
      <c r="I946" s="69"/>
    </row>
    <row r="947" spans="2:9">
      <c r="B947" s="111"/>
      <c r="C947" s="111"/>
      <c r="D947" s="111"/>
      <c r="E947" s="111"/>
      <c r="F947" s="111"/>
      <c r="G947" s="111"/>
      <c r="H947" s="69"/>
      <c r="I947" s="69"/>
    </row>
    <row r="948" spans="2:9">
      <c r="B948" s="111"/>
      <c r="C948" s="111"/>
      <c r="D948" s="111"/>
      <c r="E948" s="111"/>
      <c r="F948" s="111"/>
      <c r="G948" s="111"/>
      <c r="H948" s="69"/>
      <c r="I948" s="69"/>
    </row>
    <row r="949" spans="2:9">
      <c r="B949" s="111"/>
      <c r="C949" s="111"/>
      <c r="D949" s="111"/>
      <c r="E949" s="111"/>
      <c r="F949" s="111"/>
      <c r="G949" s="111"/>
      <c r="H949" s="69"/>
      <c r="I949" s="69"/>
    </row>
    <row r="950" spans="2:9">
      <c r="B950" s="111"/>
      <c r="C950" s="111"/>
      <c r="D950" s="111"/>
      <c r="E950" s="111"/>
      <c r="F950" s="111"/>
      <c r="G950" s="111"/>
      <c r="H950" s="69"/>
      <c r="I950" s="69"/>
    </row>
    <row r="951" spans="2:9">
      <c r="B951" s="111"/>
      <c r="C951" s="111"/>
      <c r="D951" s="111"/>
      <c r="E951" s="111"/>
      <c r="F951" s="111"/>
      <c r="G951" s="111"/>
      <c r="H951" s="69"/>
      <c r="I951" s="69"/>
    </row>
    <row r="952" spans="2:9">
      <c r="B952" s="111"/>
      <c r="C952" s="111"/>
      <c r="D952" s="111"/>
      <c r="E952" s="111"/>
      <c r="F952" s="111"/>
      <c r="G952" s="111"/>
      <c r="H952" s="69"/>
      <c r="I952" s="69"/>
    </row>
    <row r="953" spans="2:9">
      <c r="B953" s="111"/>
      <c r="C953" s="111"/>
      <c r="D953" s="111"/>
      <c r="E953" s="111"/>
      <c r="F953" s="111"/>
      <c r="G953" s="111"/>
      <c r="H953" s="69"/>
      <c r="I953" s="69"/>
    </row>
    <row r="954" spans="2:9">
      <c r="B954" s="111"/>
      <c r="C954" s="111"/>
      <c r="D954" s="111"/>
      <c r="E954" s="111"/>
      <c r="F954" s="111"/>
      <c r="G954" s="111"/>
      <c r="H954" s="69"/>
      <c r="I954" s="69"/>
    </row>
    <row r="955" spans="2:9">
      <c r="B955" s="111"/>
      <c r="C955" s="111"/>
      <c r="D955" s="111"/>
      <c r="E955" s="111"/>
      <c r="F955" s="111"/>
      <c r="G955" s="111"/>
      <c r="H955" s="69"/>
      <c r="I955" s="69"/>
    </row>
    <row r="956" spans="2:9">
      <c r="B956" s="111"/>
      <c r="C956" s="111"/>
      <c r="D956" s="111"/>
      <c r="E956" s="111"/>
      <c r="F956" s="111"/>
      <c r="G956" s="111"/>
      <c r="H956" s="69"/>
      <c r="I956" s="69"/>
    </row>
    <row r="957" spans="2:9">
      <c r="B957" s="111"/>
      <c r="C957" s="111"/>
      <c r="D957" s="111"/>
      <c r="E957" s="111"/>
      <c r="F957" s="111"/>
      <c r="G957" s="111"/>
      <c r="H957" s="69"/>
      <c r="I957" s="69"/>
    </row>
    <row r="958" spans="2:9">
      <c r="B958" s="111"/>
      <c r="C958" s="111"/>
      <c r="D958" s="111"/>
      <c r="E958" s="111"/>
      <c r="F958" s="111"/>
      <c r="G958" s="111"/>
      <c r="H958" s="69"/>
      <c r="I958" s="69"/>
    </row>
    <row r="959" spans="2:9">
      <c r="B959" s="111"/>
      <c r="C959" s="111"/>
      <c r="D959" s="111"/>
      <c r="E959" s="111"/>
      <c r="F959" s="111"/>
      <c r="G959" s="111"/>
      <c r="H959" s="69"/>
      <c r="I959" s="69"/>
    </row>
    <row r="960" spans="2:9">
      <c r="B960" s="111"/>
      <c r="C960" s="111"/>
      <c r="D960" s="111"/>
      <c r="E960" s="111"/>
      <c r="F960" s="111"/>
      <c r="G960" s="111"/>
      <c r="H960" s="69"/>
      <c r="I960" s="69"/>
    </row>
    <row r="961" spans="2:9">
      <c r="B961" s="111"/>
      <c r="C961" s="111"/>
      <c r="D961" s="111"/>
      <c r="E961" s="111"/>
      <c r="F961" s="111"/>
      <c r="G961" s="111"/>
      <c r="H961" s="69"/>
      <c r="I961" s="69"/>
    </row>
    <row r="962" spans="2:9">
      <c r="B962" s="111"/>
      <c r="C962" s="111"/>
      <c r="D962" s="111"/>
      <c r="E962" s="111"/>
      <c r="F962" s="111"/>
      <c r="G962" s="111"/>
      <c r="H962" s="69"/>
      <c r="I962" s="69"/>
    </row>
    <row r="963" spans="2:9">
      <c r="B963" s="111"/>
      <c r="C963" s="111"/>
      <c r="D963" s="111"/>
      <c r="E963" s="111"/>
      <c r="F963" s="111"/>
      <c r="G963" s="111"/>
      <c r="H963" s="69"/>
      <c r="I963" s="69"/>
    </row>
    <row r="964" spans="2:9">
      <c r="B964" s="111"/>
      <c r="C964" s="111"/>
      <c r="D964" s="111"/>
      <c r="E964" s="111"/>
      <c r="F964" s="111"/>
      <c r="G964" s="111"/>
      <c r="H964" s="69"/>
      <c r="I964" s="69"/>
    </row>
    <row r="965" spans="2:9">
      <c r="B965" s="111"/>
      <c r="C965" s="111"/>
      <c r="D965" s="111"/>
      <c r="E965" s="111"/>
      <c r="F965" s="111"/>
      <c r="G965" s="111"/>
      <c r="H965" s="69"/>
      <c r="I965" s="69"/>
    </row>
    <row r="966" spans="2:9">
      <c r="B966" s="111"/>
      <c r="C966" s="111"/>
      <c r="D966" s="111"/>
      <c r="E966" s="111"/>
      <c r="F966" s="111"/>
      <c r="G966" s="111"/>
      <c r="H966" s="69"/>
      <c r="I966" s="69"/>
    </row>
    <row r="967" spans="2:9">
      <c r="B967" s="111"/>
      <c r="C967" s="111"/>
      <c r="D967" s="111"/>
      <c r="E967" s="111"/>
      <c r="F967" s="111"/>
      <c r="G967" s="111"/>
      <c r="H967" s="69"/>
      <c r="I967" s="69"/>
    </row>
    <row r="968" spans="2:9">
      <c r="B968" s="111"/>
      <c r="C968" s="111"/>
      <c r="D968" s="111"/>
      <c r="E968" s="111"/>
      <c r="F968" s="111"/>
      <c r="G968" s="111"/>
      <c r="H968" s="69"/>
      <c r="I968" s="69"/>
    </row>
    <row r="969" spans="2:9">
      <c r="B969" s="111"/>
      <c r="C969" s="111"/>
      <c r="D969" s="111"/>
      <c r="E969" s="111"/>
      <c r="F969" s="111"/>
      <c r="G969" s="111"/>
      <c r="H969" s="69"/>
      <c r="I969" s="69"/>
    </row>
    <row r="970" spans="2:9">
      <c r="B970" s="111"/>
      <c r="C970" s="111"/>
      <c r="D970" s="111"/>
      <c r="E970" s="111"/>
      <c r="F970" s="111"/>
      <c r="G970" s="111"/>
      <c r="H970" s="69"/>
      <c r="I970" s="69"/>
    </row>
    <row r="971" spans="2:9">
      <c r="B971" s="111"/>
      <c r="C971" s="111"/>
      <c r="D971" s="111"/>
      <c r="E971" s="111"/>
      <c r="F971" s="111"/>
      <c r="G971" s="111"/>
      <c r="H971" s="69"/>
      <c r="I971" s="69"/>
    </row>
    <row r="972" spans="2:9">
      <c r="B972" s="111"/>
      <c r="C972" s="111"/>
      <c r="D972" s="111"/>
      <c r="E972" s="111"/>
      <c r="F972" s="111"/>
      <c r="G972" s="111"/>
      <c r="H972" s="69"/>
      <c r="I972" s="69"/>
    </row>
    <row r="973" spans="2:9">
      <c r="B973" s="111"/>
      <c r="C973" s="111"/>
      <c r="D973" s="111"/>
      <c r="E973" s="111"/>
      <c r="F973" s="111"/>
      <c r="G973" s="111"/>
      <c r="H973" s="69"/>
      <c r="I973" s="69"/>
    </row>
    <row r="974" spans="2:9">
      <c r="B974" s="111"/>
      <c r="C974" s="111"/>
      <c r="D974" s="111"/>
      <c r="E974" s="111"/>
      <c r="F974" s="111"/>
      <c r="G974" s="111"/>
      <c r="H974" s="69"/>
      <c r="I974" s="69"/>
    </row>
    <row r="975" spans="2:9">
      <c r="B975" s="111"/>
      <c r="C975" s="111"/>
      <c r="D975" s="111"/>
      <c r="E975" s="111"/>
      <c r="F975" s="111"/>
      <c r="G975" s="111"/>
      <c r="H975" s="69"/>
      <c r="I975" s="69"/>
    </row>
    <row r="976" spans="2:9">
      <c r="B976" s="111"/>
      <c r="C976" s="111"/>
      <c r="D976" s="111"/>
      <c r="E976" s="111"/>
      <c r="F976" s="111"/>
      <c r="G976" s="111"/>
      <c r="H976" s="69"/>
      <c r="I976" s="69"/>
    </row>
    <row r="977" spans="2:9">
      <c r="B977" s="111"/>
      <c r="C977" s="111"/>
      <c r="D977" s="111"/>
      <c r="E977" s="111"/>
      <c r="F977" s="111"/>
      <c r="G977" s="111"/>
      <c r="H977" s="69"/>
      <c r="I977" s="69"/>
    </row>
    <row r="978" spans="2:9">
      <c r="B978" s="111"/>
      <c r="C978" s="111"/>
      <c r="D978" s="111"/>
      <c r="E978" s="111"/>
      <c r="F978" s="111"/>
      <c r="G978" s="111"/>
      <c r="H978" s="69"/>
      <c r="I978" s="69"/>
    </row>
    <row r="979" spans="2:9">
      <c r="B979" s="111"/>
      <c r="C979" s="111"/>
      <c r="D979" s="111"/>
      <c r="E979" s="111"/>
      <c r="F979" s="111"/>
      <c r="G979" s="111"/>
      <c r="H979" s="69"/>
      <c r="I979" s="69"/>
    </row>
    <row r="980" spans="2:9">
      <c r="B980" s="111"/>
      <c r="C980" s="111"/>
      <c r="D980" s="111"/>
      <c r="E980" s="111"/>
      <c r="F980" s="111"/>
      <c r="G980" s="111"/>
      <c r="H980" s="69"/>
      <c r="I980" s="69"/>
    </row>
    <row r="981" spans="2:9">
      <c r="B981" s="111"/>
      <c r="C981" s="111"/>
      <c r="D981" s="111"/>
      <c r="E981" s="111"/>
      <c r="F981" s="111"/>
      <c r="G981" s="111"/>
      <c r="H981" s="69"/>
      <c r="I981" s="69"/>
    </row>
    <row r="982" spans="2:9">
      <c r="B982" s="111"/>
      <c r="C982" s="111"/>
      <c r="D982" s="111"/>
      <c r="E982" s="111"/>
      <c r="F982" s="111"/>
      <c r="G982" s="111"/>
      <c r="H982" s="69"/>
      <c r="I982" s="69"/>
    </row>
    <row r="983" spans="2:9">
      <c r="B983" s="111"/>
      <c r="C983" s="111"/>
      <c r="D983" s="111"/>
      <c r="E983" s="111"/>
      <c r="F983" s="111"/>
      <c r="G983" s="111"/>
      <c r="H983" s="69"/>
      <c r="I983" s="69"/>
    </row>
    <row r="984" spans="2:9">
      <c r="B984" s="111"/>
      <c r="C984" s="111"/>
      <c r="D984" s="111"/>
      <c r="E984" s="111"/>
      <c r="F984" s="111"/>
      <c r="G984" s="111"/>
      <c r="H984" s="69"/>
      <c r="I984" s="69"/>
    </row>
    <row r="985" spans="2:9">
      <c r="B985" s="111"/>
      <c r="C985" s="111"/>
      <c r="D985" s="111"/>
      <c r="E985" s="111"/>
      <c r="F985" s="111"/>
      <c r="G985" s="111"/>
      <c r="H985" s="69"/>
      <c r="I985" s="69"/>
    </row>
    <row r="986" spans="2:9">
      <c r="B986" s="111"/>
      <c r="C986" s="111"/>
      <c r="D986" s="111"/>
      <c r="E986" s="111"/>
      <c r="F986" s="111"/>
      <c r="G986" s="111"/>
      <c r="H986" s="69"/>
      <c r="I986" s="69"/>
    </row>
    <row r="987" spans="2:9">
      <c r="B987" s="111"/>
      <c r="C987" s="111"/>
      <c r="D987" s="111"/>
      <c r="E987" s="111"/>
      <c r="F987" s="111"/>
      <c r="G987" s="111"/>
      <c r="H987" s="69"/>
      <c r="I987" s="69"/>
    </row>
    <row r="988" spans="2:9">
      <c r="B988" s="111"/>
      <c r="C988" s="111"/>
      <c r="D988" s="111"/>
      <c r="E988" s="111"/>
      <c r="F988" s="111"/>
      <c r="G988" s="111"/>
      <c r="H988" s="69"/>
      <c r="I988" s="69"/>
    </row>
    <row r="989" spans="2:9">
      <c r="B989" s="111"/>
      <c r="C989" s="111"/>
      <c r="D989" s="111"/>
      <c r="E989" s="111"/>
      <c r="F989" s="111"/>
      <c r="G989" s="111"/>
      <c r="H989" s="69"/>
      <c r="I989" s="69"/>
    </row>
    <row r="990" spans="2:9">
      <c r="B990" s="111"/>
      <c r="C990" s="111"/>
      <c r="D990" s="111"/>
      <c r="E990" s="111"/>
      <c r="F990" s="111"/>
      <c r="G990" s="111"/>
      <c r="H990" s="69"/>
      <c r="I990" s="69"/>
    </row>
    <row r="991" spans="2:9">
      <c r="B991" s="111"/>
      <c r="C991" s="111"/>
      <c r="D991" s="111"/>
      <c r="E991" s="111"/>
      <c r="F991" s="111"/>
      <c r="G991" s="111"/>
      <c r="H991" s="69"/>
      <c r="I991" s="69"/>
    </row>
    <row r="992" spans="2:9">
      <c r="B992" s="111"/>
      <c r="C992" s="111"/>
      <c r="D992" s="111"/>
      <c r="E992" s="111"/>
      <c r="F992" s="111"/>
      <c r="G992" s="111"/>
      <c r="H992" s="69"/>
      <c r="I992" s="69"/>
    </row>
    <row r="993" spans="2:9">
      <c r="B993" s="111"/>
      <c r="C993" s="111"/>
      <c r="D993" s="111"/>
      <c r="E993" s="111"/>
      <c r="F993" s="111"/>
      <c r="G993" s="111"/>
      <c r="H993" s="69"/>
      <c r="I993" s="69"/>
    </row>
    <row r="994" spans="2:9">
      <c r="B994" s="111"/>
      <c r="C994" s="111"/>
      <c r="D994" s="111"/>
      <c r="E994" s="111"/>
      <c r="F994" s="111"/>
      <c r="G994" s="111"/>
      <c r="H994" s="69"/>
      <c r="I994" s="69"/>
    </row>
    <row r="995" spans="2:9">
      <c r="B995" s="111"/>
      <c r="C995" s="111"/>
      <c r="D995" s="111"/>
      <c r="E995" s="111"/>
      <c r="F995" s="111"/>
      <c r="G995" s="111"/>
      <c r="H995" s="69"/>
      <c r="I995" s="69"/>
    </row>
    <row r="996" spans="2:9">
      <c r="B996" s="111"/>
      <c r="C996" s="111"/>
      <c r="D996" s="111"/>
      <c r="E996" s="111"/>
      <c r="F996" s="111"/>
      <c r="G996" s="111"/>
      <c r="H996" s="69"/>
      <c r="I996" s="69"/>
    </row>
    <row r="997" spans="2:9">
      <c r="B997" s="111"/>
      <c r="C997" s="111"/>
      <c r="D997" s="111"/>
      <c r="E997" s="111"/>
      <c r="F997" s="111"/>
      <c r="G997" s="111"/>
      <c r="H997" s="69"/>
      <c r="I997" s="69"/>
    </row>
    <row r="998" spans="2:9">
      <c r="B998" s="111"/>
      <c r="C998" s="111"/>
      <c r="D998" s="111"/>
      <c r="E998" s="111"/>
      <c r="F998" s="111"/>
      <c r="G998" s="111"/>
      <c r="H998" s="69"/>
      <c r="I998" s="69"/>
    </row>
    <row r="999" spans="2:9">
      <c r="B999" s="111"/>
      <c r="C999" s="111"/>
      <c r="D999" s="111"/>
      <c r="E999" s="111"/>
      <c r="F999" s="111"/>
      <c r="G999" s="111"/>
      <c r="H999" s="69"/>
      <c r="I999" s="69"/>
    </row>
    <row r="1000" spans="2:9">
      <c r="B1000" s="111"/>
      <c r="C1000" s="111"/>
      <c r="D1000" s="111"/>
      <c r="E1000" s="111"/>
      <c r="F1000" s="111"/>
      <c r="G1000" s="111"/>
      <c r="H1000" s="69"/>
      <c r="I1000" s="69"/>
    </row>
    <row r="1001" spans="2:9">
      <c r="B1001" s="111"/>
      <c r="C1001" s="111"/>
      <c r="D1001" s="111"/>
      <c r="E1001" s="111"/>
      <c r="F1001" s="111"/>
      <c r="G1001" s="111"/>
      <c r="H1001" s="69"/>
      <c r="I1001" s="69"/>
    </row>
    <row r="1002" spans="2:9">
      <c r="B1002" s="111"/>
      <c r="C1002" s="111"/>
      <c r="D1002" s="111"/>
      <c r="E1002" s="111"/>
      <c r="F1002" s="111"/>
      <c r="G1002" s="111"/>
      <c r="H1002" s="69"/>
      <c r="I1002" s="69"/>
    </row>
    <row r="1003" spans="2:9">
      <c r="B1003" s="111"/>
      <c r="C1003" s="111"/>
      <c r="D1003" s="111"/>
      <c r="E1003" s="111"/>
      <c r="F1003" s="111"/>
      <c r="G1003" s="111"/>
      <c r="H1003" s="69"/>
      <c r="I1003" s="69"/>
    </row>
    <row r="1004" spans="2:9">
      <c r="B1004" s="111"/>
      <c r="C1004" s="111"/>
      <c r="D1004" s="111"/>
      <c r="E1004" s="111"/>
      <c r="F1004" s="111"/>
      <c r="G1004" s="111"/>
      <c r="H1004" s="69"/>
      <c r="I1004" s="69"/>
    </row>
    <row r="1005" spans="2:9">
      <c r="B1005" s="111"/>
      <c r="C1005" s="111"/>
      <c r="D1005" s="111"/>
      <c r="E1005" s="111"/>
      <c r="F1005" s="111"/>
      <c r="G1005" s="111"/>
      <c r="H1005" s="69"/>
      <c r="I1005" s="69"/>
    </row>
    <row r="1006" spans="2:9">
      <c r="B1006" s="111"/>
      <c r="C1006" s="111"/>
      <c r="D1006" s="111"/>
      <c r="E1006" s="111"/>
      <c r="F1006" s="111"/>
      <c r="G1006" s="111"/>
      <c r="H1006" s="69"/>
      <c r="I1006" s="69"/>
    </row>
    <row r="1007" spans="2:9">
      <c r="B1007" s="111"/>
      <c r="C1007" s="111"/>
      <c r="D1007" s="111"/>
      <c r="E1007" s="111"/>
      <c r="F1007" s="111"/>
      <c r="G1007" s="111"/>
      <c r="H1007" s="69"/>
      <c r="I1007" s="69"/>
    </row>
    <row r="1008" spans="2:9">
      <c r="B1008" s="111"/>
      <c r="C1008" s="111"/>
      <c r="D1008" s="111"/>
      <c r="E1008" s="111"/>
      <c r="F1008" s="111"/>
      <c r="G1008" s="111"/>
      <c r="H1008" s="69"/>
      <c r="I1008" s="69"/>
    </row>
    <row r="1009" spans="2:9">
      <c r="B1009" s="111"/>
      <c r="C1009" s="111"/>
      <c r="D1009" s="111"/>
      <c r="E1009" s="111"/>
      <c r="F1009" s="111"/>
      <c r="G1009" s="111"/>
      <c r="H1009" s="69"/>
      <c r="I1009" s="69"/>
    </row>
    <row r="1010" spans="2:9">
      <c r="B1010" s="111"/>
      <c r="C1010" s="111"/>
      <c r="D1010" s="111"/>
      <c r="E1010" s="111"/>
      <c r="F1010" s="111"/>
      <c r="G1010" s="111"/>
      <c r="H1010" s="69"/>
      <c r="I1010" s="69"/>
    </row>
    <row r="1011" spans="2:9">
      <c r="B1011" s="111"/>
      <c r="C1011" s="111"/>
      <c r="D1011" s="111"/>
      <c r="E1011" s="111"/>
      <c r="F1011" s="111"/>
      <c r="G1011" s="111"/>
      <c r="H1011" s="69"/>
      <c r="I1011" s="69"/>
    </row>
    <row r="1012" spans="2:9">
      <c r="B1012" s="111"/>
      <c r="C1012" s="111"/>
      <c r="D1012" s="111"/>
      <c r="E1012" s="111"/>
      <c r="F1012" s="111"/>
      <c r="G1012" s="111"/>
      <c r="H1012" s="69"/>
      <c r="I1012" s="69"/>
    </row>
    <row r="1013" spans="2:9">
      <c r="B1013" s="111"/>
      <c r="C1013" s="111"/>
      <c r="D1013" s="111"/>
      <c r="E1013" s="111"/>
      <c r="F1013" s="111"/>
      <c r="G1013" s="111"/>
      <c r="H1013" s="69"/>
      <c r="I1013" s="69"/>
    </row>
    <row r="1014" spans="2:9">
      <c r="B1014" s="111"/>
      <c r="C1014" s="111"/>
      <c r="D1014" s="111"/>
      <c r="E1014" s="111"/>
      <c r="F1014" s="111"/>
      <c r="G1014" s="111"/>
      <c r="H1014" s="69"/>
      <c r="I1014" s="69"/>
    </row>
    <row r="1015" spans="2:9">
      <c r="B1015" s="111"/>
      <c r="C1015" s="111"/>
      <c r="D1015" s="111"/>
      <c r="E1015" s="111"/>
      <c r="F1015" s="111"/>
      <c r="G1015" s="111"/>
      <c r="H1015" s="69"/>
      <c r="I1015" s="69"/>
    </row>
    <row r="1016" spans="2:9">
      <c r="B1016" s="111"/>
      <c r="C1016" s="111"/>
      <c r="D1016" s="111"/>
      <c r="E1016" s="111"/>
      <c r="F1016" s="111"/>
      <c r="G1016" s="111"/>
      <c r="H1016" s="69"/>
      <c r="I1016" s="69"/>
    </row>
    <row r="1017" spans="2:9">
      <c r="B1017" s="111"/>
      <c r="C1017" s="111"/>
      <c r="D1017" s="111"/>
      <c r="E1017" s="111"/>
      <c r="F1017" s="111"/>
      <c r="G1017" s="111"/>
      <c r="H1017" s="69"/>
      <c r="I1017" s="69"/>
    </row>
    <row r="1018" spans="2:9">
      <c r="B1018" s="111"/>
      <c r="C1018" s="111"/>
      <c r="D1018" s="111"/>
      <c r="E1018" s="111"/>
      <c r="F1018" s="111"/>
      <c r="G1018" s="111"/>
      <c r="H1018" s="69"/>
      <c r="I1018" s="69"/>
    </row>
    <row r="1019" spans="2:9">
      <c r="B1019" s="111"/>
      <c r="C1019" s="111"/>
      <c r="D1019" s="111"/>
      <c r="E1019" s="111"/>
      <c r="F1019" s="111"/>
      <c r="G1019" s="111"/>
      <c r="H1019" s="69"/>
      <c r="I1019" s="69"/>
    </row>
    <row r="1020" spans="2:9">
      <c r="B1020" s="111"/>
      <c r="C1020" s="111"/>
      <c r="D1020" s="111"/>
      <c r="E1020" s="111"/>
      <c r="F1020" s="111"/>
      <c r="G1020" s="111"/>
      <c r="H1020" s="69"/>
      <c r="I1020" s="69"/>
    </row>
    <row r="1021" spans="2:9">
      <c r="B1021" s="111"/>
      <c r="C1021" s="111"/>
      <c r="D1021" s="111"/>
      <c r="E1021" s="111"/>
      <c r="F1021" s="111"/>
      <c r="G1021" s="111"/>
      <c r="H1021" s="69"/>
      <c r="I1021" s="69"/>
    </row>
    <row r="1022" spans="2:9">
      <c r="B1022" s="111"/>
      <c r="C1022" s="111"/>
      <c r="D1022" s="111"/>
      <c r="E1022" s="111"/>
      <c r="F1022" s="111"/>
      <c r="G1022" s="111"/>
      <c r="H1022" s="69"/>
      <c r="I1022" s="69"/>
    </row>
    <row r="1023" spans="2:9">
      <c r="B1023" s="111"/>
      <c r="C1023" s="111"/>
      <c r="D1023" s="111"/>
      <c r="E1023" s="111"/>
      <c r="F1023" s="111"/>
      <c r="G1023" s="111"/>
      <c r="H1023" s="69"/>
      <c r="I1023" s="69"/>
    </row>
    <row r="1024" spans="2:9">
      <c r="B1024" s="111"/>
      <c r="C1024" s="111"/>
      <c r="D1024" s="111"/>
      <c r="E1024" s="111"/>
      <c r="F1024" s="111"/>
      <c r="G1024" s="111"/>
      <c r="H1024" s="69"/>
      <c r="I1024" s="69"/>
    </row>
    <row r="1025" spans="2:9">
      <c r="B1025" s="111"/>
      <c r="C1025" s="111"/>
      <c r="D1025" s="111"/>
      <c r="E1025" s="111"/>
      <c r="F1025" s="111"/>
      <c r="G1025" s="111"/>
      <c r="H1025" s="69"/>
      <c r="I1025" s="69"/>
    </row>
    <row r="1026" spans="2:9">
      <c r="B1026" s="111"/>
      <c r="C1026" s="111"/>
      <c r="D1026" s="111"/>
      <c r="E1026" s="111"/>
      <c r="F1026" s="111"/>
      <c r="G1026" s="111"/>
      <c r="H1026" s="69"/>
      <c r="I1026" s="69"/>
    </row>
    <row r="1027" spans="2:9">
      <c r="B1027" s="111"/>
      <c r="C1027" s="111"/>
      <c r="D1027" s="111"/>
      <c r="E1027" s="111"/>
      <c r="F1027" s="111"/>
      <c r="G1027" s="111"/>
      <c r="H1027" s="69"/>
      <c r="I1027" s="69"/>
    </row>
    <row r="1028" spans="2:9">
      <c r="B1028" s="111"/>
      <c r="C1028" s="111"/>
      <c r="D1028" s="111"/>
      <c r="E1028" s="111"/>
      <c r="F1028" s="111"/>
      <c r="G1028" s="111"/>
      <c r="H1028" s="69"/>
      <c r="I1028" s="69"/>
    </row>
    <row r="1029" spans="2:9">
      <c r="B1029" s="111"/>
      <c r="C1029" s="111"/>
      <c r="D1029" s="111"/>
      <c r="E1029" s="111"/>
      <c r="F1029" s="111"/>
      <c r="G1029" s="111"/>
      <c r="H1029" s="69"/>
      <c r="I1029" s="69"/>
    </row>
    <row r="1030" spans="2:9">
      <c r="B1030" s="111"/>
      <c r="C1030" s="111"/>
      <c r="D1030" s="111"/>
      <c r="E1030" s="111"/>
      <c r="F1030" s="111"/>
      <c r="G1030" s="111"/>
      <c r="H1030" s="69"/>
      <c r="I1030" s="69"/>
    </row>
    <row r="1031" spans="2:9">
      <c r="B1031" s="111"/>
      <c r="C1031" s="111"/>
      <c r="D1031" s="111"/>
      <c r="E1031" s="111"/>
      <c r="F1031" s="111"/>
      <c r="G1031" s="111"/>
      <c r="H1031" s="69"/>
      <c r="I1031" s="69"/>
    </row>
    <row r="1032" spans="2:9">
      <c r="B1032" s="111"/>
      <c r="C1032" s="111"/>
      <c r="D1032" s="111"/>
      <c r="E1032" s="111"/>
      <c r="F1032" s="111"/>
      <c r="G1032" s="111"/>
      <c r="H1032" s="69"/>
      <c r="I1032" s="69"/>
    </row>
    <row r="1033" spans="2:9">
      <c r="B1033" s="111"/>
      <c r="C1033" s="111"/>
      <c r="D1033" s="111"/>
      <c r="E1033" s="111"/>
      <c r="F1033" s="111"/>
      <c r="G1033" s="111"/>
      <c r="H1033" s="69"/>
      <c r="I1033" s="69"/>
    </row>
    <row r="1034" spans="2:9">
      <c r="B1034" s="111"/>
      <c r="C1034" s="111"/>
      <c r="D1034" s="111"/>
      <c r="E1034" s="111"/>
      <c r="F1034" s="111"/>
      <c r="G1034" s="111"/>
      <c r="H1034" s="69"/>
      <c r="I1034" s="69"/>
    </row>
    <row r="1035" spans="2:9">
      <c r="B1035" s="111"/>
      <c r="C1035" s="111"/>
      <c r="D1035" s="111"/>
      <c r="E1035" s="111"/>
      <c r="F1035" s="111"/>
      <c r="G1035" s="111"/>
      <c r="H1035" s="69"/>
      <c r="I1035" s="69"/>
    </row>
    <row r="1036" spans="2:9">
      <c r="B1036" s="111"/>
      <c r="C1036" s="111"/>
      <c r="D1036" s="111"/>
      <c r="E1036" s="111"/>
      <c r="F1036" s="111"/>
      <c r="G1036" s="111"/>
      <c r="H1036" s="69"/>
      <c r="I1036" s="69"/>
    </row>
    <row r="1037" spans="2:9">
      <c r="B1037" s="111"/>
      <c r="C1037" s="111"/>
      <c r="D1037" s="111"/>
      <c r="E1037" s="111"/>
      <c r="F1037" s="111"/>
      <c r="G1037" s="111"/>
      <c r="H1037" s="69"/>
      <c r="I1037" s="69"/>
    </row>
    <row r="1038" spans="2:9">
      <c r="B1038" s="111"/>
      <c r="C1038" s="111"/>
      <c r="D1038" s="111"/>
      <c r="E1038" s="111"/>
      <c r="F1038" s="111"/>
      <c r="G1038" s="111"/>
      <c r="H1038" s="69"/>
      <c r="I1038" s="69"/>
    </row>
    <row r="1039" spans="2:9">
      <c r="B1039" s="111"/>
      <c r="C1039" s="111"/>
      <c r="D1039" s="111"/>
      <c r="E1039" s="111"/>
      <c r="F1039" s="111"/>
      <c r="G1039" s="111"/>
      <c r="H1039" s="69"/>
      <c r="I1039" s="69"/>
    </row>
    <row r="1040" spans="2:9">
      <c r="B1040" s="111"/>
      <c r="C1040" s="111"/>
      <c r="D1040" s="111"/>
      <c r="E1040" s="111"/>
      <c r="F1040" s="111"/>
      <c r="G1040" s="111"/>
      <c r="H1040" s="69"/>
      <c r="I1040" s="69"/>
    </row>
    <row r="1041" spans="2:9">
      <c r="B1041" s="111"/>
      <c r="C1041" s="111"/>
      <c r="D1041" s="111"/>
      <c r="E1041" s="111"/>
      <c r="F1041" s="111"/>
      <c r="G1041" s="111"/>
      <c r="H1041" s="69"/>
      <c r="I1041" s="69"/>
    </row>
    <row r="1042" spans="2:9">
      <c r="B1042" s="111"/>
      <c r="C1042" s="111"/>
      <c r="D1042" s="111"/>
      <c r="E1042" s="111"/>
      <c r="F1042" s="111"/>
      <c r="G1042" s="111"/>
      <c r="H1042" s="69"/>
      <c r="I1042" s="69"/>
    </row>
    <row r="1043" spans="2:9">
      <c r="B1043" s="111"/>
      <c r="C1043" s="111"/>
      <c r="D1043" s="111"/>
      <c r="E1043" s="111"/>
      <c r="F1043" s="111"/>
      <c r="G1043" s="111"/>
      <c r="H1043" s="69"/>
      <c r="I1043" s="69"/>
    </row>
    <row r="1044" spans="2:9">
      <c r="B1044" s="111"/>
      <c r="C1044" s="111"/>
      <c r="D1044" s="111"/>
      <c r="E1044" s="111"/>
      <c r="F1044" s="111"/>
      <c r="G1044" s="111"/>
      <c r="H1044" s="69"/>
      <c r="I1044" s="69"/>
    </row>
    <row r="1045" spans="2:9">
      <c r="B1045" s="111"/>
      <c r="C1045" s="111"/>
      <c r="D1045" s="111"/>
      <c r="E1045" s="111"/>
      <c r="F1045" s="111"/>
      <c r="G1045" s="111"/>
      <c r="H1045" s="69"/>
      <c r="I1045" s="69"/>
    </row>
    <row r="1046" spans="2:9">
      <c r="B1046" s="111"/>
      <c r="C1046" s="111"/>
      <c r="D1046" s="111"/>
      <c r="E1046" s="111"/>
      <c r="F1046" s="111"/>
      <c r="G1046" s="111"/>
      <c r="H1046" s="69"/>
      <c r="I1046" s="69"/>
    </row>
    <row r="1047" spans="2:9">
      <c r="B1047" s="111"/>
      <c r="C1047" s="111"/>
      <c r="D1047" s="111"/>
      <c r="E1047" s="111"/>
      <c r="F1047" s="111"/>
      <c r="G1047" s="111"/>
      <c r="H1047" s="69"/>
      <c r="I1047" s="69"/>
    </row>
    <row r="1048" spans="2:9">
      <c r="B1048" s="111"/>
      <c r="C1048" s="111"/>
      <c r="D1048" s="111"/>
      <c r="E1048" s="111"/>
      <c r="F1048" s="111"/>
      <c r="G1048" s="111"/>
      <c r="H1048" s="69"/>
      <c r="I1048" s="69"/>
    </row>
    <row r="1049" spans="2:9">
      <c r="B1049" s="111"/>
      <c r="C1049" s="111"/>
      <c r="D1049" s="111"/>
      <c r="E1049" s="111"/>
      <c r="F1049" s="111"/>
      <c r="G1049" s="111"/>
      <c r="H1049" s="69"/>
      <c r="I1049" s="69"/>
    </row>
    <row r="1050" spans="2:9">
      <c r="B1050" s="111"/>
      <c r="C1050" s="111"/>
      <c r="D1050" s="111"/>
      <c r="E1050" s="111"/>
      <c r="F1050" s="111"/>
      <c r="G1050" s="111"/>
      <c r="H1050" s="69"/>
      <c r="I1050" s="69"/>
    </row>
    <row r="1051" spans="2:9">
      <c r="B1051" s="111"/>
      <c r="C1051" s="111"/>
      <c r="D1051" s="111"/>
      <c r="E1051" s="111"/>
      <c r="F1051" s="111"/>
      <c r="G1051" s="111"/>
      <c r="H1051" s="69"/>
      <c r="I1051" s="69"/>
    </row>
    <row r="1052" spans="2:9">
      <c r="B1052" s="111"/>
      <c r="C1052" s="111"/>
      <c r="D1052" s="111"/>
      <c r="E1052" s="111"/>
      <c r="F1052" s="111"/>
      <c r="G1052" s="111"/>
      <c r="H1052" s="69"/>
      <c r="I1052" s="69"/>
    </row>
    <row r="1053" spans="2:9">
      <c r="B1053" s="111"/>
      <c r="C1053" s="111"/>
      <c r="D1053" s="111"/>
      <c r="E1053" s="111"/>
      <c r="F1053" s="111"/>
      <c r="G1053" s="111"/>
      <c r="H1053" s="69"/>
      <c r="I1053" s="69"/>
    </row>
    <row r="1054" spans="2:9">
      <c r="B1054" s="111"/>
      <c r="C1054" s="111"/>
      <c r="D1054" s="111"/>
      <c r="E1054" s="111"/>
      <c r="F1054" s="111"/>
      <c r="G1054" s="111"/>
      <c r="H1054" s="69"/>
      <c r="I1054" s="69"/>
    </row>
    <row r="1055" spans="2:9">
      <c r="B1055" s="111"/>
      <c r="C1055" s="111"/>
      <c r="D1055" s="111"/>
      <c r="E1055" s="111"/>
      <c r="F1055" s="111"/>
      <c r="G1055" s="111"/>
      <c r="H1055" s="69"/>
      <c r="I1055" s="69"/>
    </row>
    <row r="1056" spans="2:9">
      <c r="B1056" s="111"/>
      <c r="C1056" s="111"/>
      <c r="D1056" s="111"/>
      <c r="E1056" s="111"/>
      <c r="F1056" s="111"/>
      <c r="G1056" s="111"/>
      <c r="H1056" s="69"/>
      <c r="I1056" s="69"/>
    </row>
    <row r="1057" spans="2:9">
      <c r="B1057" s="111"/>
      <c r="C1057" s="111"/>
      <c r="D1057" s="111"/>
      <c r="E1057" s="111"/>
      <c r="F1057" s="111"/>
      <c r="G1057" s="111"/>
      <c r="H1057" s="69"/>
      <c r="I1057" s="69"/>
    </row>
    <row r="1058" spans="2:9">
      <c r="B1058" s="111"/>
      <c r="C1058" s="111"/>
      <c r="D1058" s="111"/>
      <c r="E1058" s="111"/>
      <c r="F1058" s="111"/>
      <c r="G1058" s="111"/>
      <c r="H1058" s="69"/>
      <c r="I1058" s="69"/>
    </row>
    <row r="1059" spans="2:9">
      <c r="B1059" s="111"/>
      <c r="C1059" s="111"/>
      <c r="D1059" s="111"/>
      <c r="E1059" s="111"/>
      <c r="F1059" s="111"/>
      <c r="G1059" s="111"/>
      <c r="H1059" s="69"/>
      <c r="I1059" s="69"/>
    </row>
    <row r="1060" spans="2:9">
      <c r="B1060" s="111"/>
      <c r="C1060" s="111"/>
      <c r="D1060" s="111"/>
      <c r="E1060" s="111"/>
      <c r="F1060" s="111"/>
      <c r="G1060" s="111"/>
      <c r="H1060" s="69"/>
      <c r="I1060" s="69"/>
    </row>
    <row r="1061" spans="2:9">
      <c r="B1061" s="111"/>
      <c r="C1061" s="111"/>
      <c r="D1061" s="111"/>
      <c r="E1061" s="111"/>
      <c r="F1061" s="111"/>
      <c r="G1061" s="111"/>
      <c r="H1061" s="69"/>
      <c r="I1061" s="69"/>
    </row>
    <row r="1062" spans="2:9">
      <c r="B1062" s="111"/>
      <c r="C1062" s="111"/>
      <c r="D1062" s="111"/>
      <c r="E1062" s="111"/>
      <c r="F1062" s="111"/>
      <c r="G1062" s="111"/>
      <c r="H1062" s="69"/>
      <c r="I1062" s="69"/>
    </row>
    <row r="1063" spans="2:9">
      <c r="B1063" s="111"/>
      <c r="C1063" s="111"/>
      <c r="D1063" s="111"/>
      <c r="E1063" s="111"/>
      <c r="F1063" s="111"/>
      <c r="G1063" s="111"/>
      <c r="H1063" s="69"/>
      <c r="I1063" s="69"/>
    </row>
    <row r="1064" spans="2:9">
      <c r="B1064" s="111"/>
      <c r="C1064" s="111"/>
      <c r="D1064" s="111"/>
      <c r="E1064" s="111"/>
      <c r="F1064" s="111"/>
      <c r="G1064" s="111"/>
      <c r="H1064" s="69"/>
      <c r="I1064" s="69"/>
    </row>
    <row r="1065" spans="2:9">
      <c r="B1065" s="111"/>
      <c r="C1065" s="111"/>
      <c r="D1065" s="111"/>
      <c r="E1065" s="111"/>
      <c r="F1065" s="111"/>
      <c r="G1065" s="111"/>
      <c r="H1065" s="69"/>
      <c r="I1065" s="69"/>
    </row>
    <row r="1066" spans="2:9">
      <c r="B1066" s="111"/>
      <c r="C1066" s="111"/>
      <c r="D1066" s="111"/>
      <c r="E1066" s="111"/>
      <c r="F1066" s="111"/>
      <c r="G1066" s="111"/>
      <c r="H1066" s="69"/>
      <c r="I1066" s="69"/>
    </row>
    <row r="1067" spans="2:9">
      <c r="B1067" s="111"/>
      <c r="C1067" s="111"/>
      <c r="D1067" s="111"/>
      <c r="E1067" s="111"/>
      <c r="F1067" s="111"/>
      <c r="G1067" s="111"/>
      <c r="H1067" s="69"/>
      <c r="I1067" s="69"/>
    </row>
    <row r="1068" spans="2:9">
      <c r="B1068" s="111"/>
      <c r="C1068" s="111"/>
      <c r="D1068" s="111"/>
      <c r="E1068" s="111"/>
      <c r="F1068" s="111"/>
      <c r="G1068" s="111"/>
      <c r="H1068" s="69"/>
      <c r="I1068" s="69"/>
    </row>
    <row r="1069" spans="2:9">
      <c r="B1069" s="111"/>
      <c r="C1069" s="111"/>
      <c r="D1069" s="111"/>
      <c r="E1069" s="111"/>
      <c r="F1069" s="111"/>
      <c r="G1069" s="111"/>
      <c r="H1069" s="69"/>
      <c r="I1069" s="69"/>
    </row>
    <row r="1070" spans="2:9">
      <c r="B1070" s="111"/>
      <c r="C1070" s="111"/>
      <c r="D1070" s="111"/>
      <c r="E1070" s="111"/>
      <c r="F1070" s="111"/>
      <c r="G1070" s="111"/>
      <c r="H1070" s="69"/>
      <c r="I1070" s="69"/>
    </row>
    <row r="1071" spans="2:9">
      <c r="B1071" s="111"/>
      <c r="C1071" s="111"/>
      <c r="D1071" s="111"/>
      <c r="E1071" s="111"/>
      <c r="F1071" s="111"/>
      <c r="G1071" s="111"/>
      <c r="H1071" s="69"/>
      <c r="I1071" s="69"/>
    </row>
    <row r="1072" spans="2:9">
      <c r="B1072" s="111"/>
      <c r="C1072" s="111"/>
      <c r="D1072" s="111"/>
      <c r="E1072" s="111"/>
      <c r="F1072" s="111"/>
      <c r="G1072" s="111"/>
      <c r="H1072" s="69"/>
      <c r="I1072" s="69"/>
    </row>
    <row r="1073" spans="2:9">
      <c r="B1073" s="111"/>
      <c r="C1073" s="111"/>
      <c r="D1073" s="111"/>
      <c r="E1073" s="111"/>
      <c r="F1073" s="111"/>
      <c r="G1073" s="111"/>
      <c r="H1073" s="69"/>
      <c r="I1073" s="69"/>
    </row>
    <row r="1074" spans="2:9">
      <c r="B1074" s="111"/>
      <c r="C1074" s="111"/>
      <c r="D1074" s="111"/>
      <c r="E1074" s="111"/>
      <c r="F1074" s="111"/>
      <c r="G1074" s="111"/>
      <c r="H1074" s="69"/>
      <c r="I1074" s="69"/>
    </row>
    <row r="1075" spans="2:9">
      <c r="B1075" s="111"/>
      <c r="C1075" s="111"/>
      <c r="D1075" s="111"/>
      <c r="E1075" s="111"/>
      <c r="F1075" s="111"/>
      <c r="G1075" s="111"/>
      <c r="H1075" s="69"/>
      <c r="I1075" s="69"/>
    </row>
    <row r="1076" spans="2:9">
      <c r="B1076" s="111"/>
      <c r="C1076" s="111"/>
      <c r="D1076" s="111"/>
      <c r="E1076" s="111"/>
      <c r="F1076" s="111"/>
      <c r="G1076" s="111"/>
      <c r="H1076" s="69"/>
      <c r="I1076" s="69"/>
    </row>
    <row r="1077" spans="2:9">
      <c r="B1077" s="111"/>
      <c r="C1077" s="111"/>
      <c r="D1077" s="111"/>
      <c r="E1077" s="111"/>
      <c r="F1077" s="111"/>
      <c r="G1077" s="111"/>
      <c r="H1077" s="69"/>
      <c r="I1077" s="69"/>
    </row>
    <row r="1078" spans="2:9">
      <c r="B1078" s="111"/>
      <c r="C1078" s="111"/>
      <c r="D1078" s="111"/>
      <c r="E1078" s="111"/>
      <c r="F1078" s="111"/>
      <c r="G1078" s="111"/>
      <c r="H1078" s="69"/>
      <c r="I1078" s="69"/>
    </row>
    <row r="1079" spans="2:9">
      <c r="B1079" s="111"/>
      <c r="C1079" s="111"/>
      <c r="D1079" s="111"/>
      <c r="E1079" s="111"/>
      <c r="F1079" s="111"/>
      <c r="G1079" s="111"/>
      <c r="H1079" s="69"/>
      <c r="I1079" s="69"/>
    </row>
    <row r="1080" spans="2:9">
      <c r="B1080" s="111"/>
      <c r="C1080" s="111"/>
      <c r="D1080" s="111"/>
      <c r="E1080" s="111"/>
      <c r="F1080" s="111"/>
      <c r="G1080" s="111"/>
      <c r="H1080" s="69"/>
      <c r="I1080" s="69"/>
    </row>
    <row r="1081" spans="2:9">
      <c r="B1081" s="111"/>
      <c r="C1081" s="111"/>
      <c r="D1081" s="111"/>
      <c r="E1081" s="111"/>
      <c r="F1081" s="111"/>
      <c r="G1081" s="111"/>
      <c r="H1081" s="69"/>
      <c r="I1081" s="69"/>
    </row>
    <row r="1082" spans="2:9">
      <c r="B1082" s="111"/>
      <c r="C1082" s="111"/>
      <c r="D1082" s="111"/>
      <c r="E1082" s="111"/>
      <c r="F1082" s="111"/>
      <c r="G1082" s="111"/>
      <c r="H1082" s="69"/>
      <c r="I1082" s="69"/>
    </row>
    <row r="1083" spans="2:9">
      <c r="B1083" s="111"/>
      <c r="C1083" s="111"/>
      <c r="D1083" s="111"/>
      <c r="E1083" s="111"/>
      <c r="F1083" s="111"/>
      <c r="G1083" s="111"/>
      <c r="H1083" s="69"/>
      <c r="I1083" s="69"/>
    </row>
    <row r="1084" spans="2:9">
      <c r="B1084" s="111"/>
      <c r="C1084" s="111"/>
      <c r="D1084" s="111"/>
      <c r="E1084" s="111"/>
      <c r="F1084" s="111"/>
      <c r="G1084" s="111"/>
      <c r="H1084" s="69"/>
      <c r="I1084" s="69"/>
    </row>
    <row r="1085" spans="2:9">
      <c r="B1085" s="111"/>
      <c r="C1085" s="111"/>
      <c r="D1085" s="111"/>
      <c r="E1085" s="111"/>
      <c r="F1085" s="111"/>
      <c r="G1085" s="111"/>
      <c r="H1085" s="69"/>
      <c r="I1085" s="69"/>
    </row>
    <row r="1086" spans="2:9">
      <c r="B1086" s="111"/>
      <c r="C1086" s="111"/>
      <c r="D1086" s="111"/>
      <c r="E1086" s="111"/>
      <c r="F1086" s="111"/>
      <c r="G1086" s="111"/>
      <c r="H1086" s="69"/>
      <c r="I1086" s="69"/>
    </row>
    <row r="1087" spans="2:9">
      <c r="B1087" s="111"/>
      <c r="C1087" s="111"/>
      <c r="D1087" s="111"/>
      <c r="E1087" s="111"/>
      <c r="F1087" s="111"/>
      <c r="G1087" s="111"/>
      <c r="H1087" s="69"/>
      <c r="I1087" s="69"/>
    </row>
    <row r="1088" spans="2:9">
      <c r="B1088" s="111"/>
      <c r="C1088" s="111"/>
      <c r="D1088" s="111"/>
      <c r="E1088" s="111"/>
      <c r="F1088" s="111"/>
      <c r="G1088" s="111"/>
      <c r="H1088" s="69"/>
      <c r="I1088" s="69"/>
    </row>
    <row r="1089" spans="2:9">
      <c r="B1089" s="111"/>
      <c r="C1089" s="111"/>
      <c r="D1089" s="111"/>
      <c r="E1089" s="111"/>
      <c r="F1089" s="111"/>
      <c r="G1089" s="111"/>
      <c r="H1089" s="69"/>
      <c r="I1089" s="69"/>
    </row>
    <row r="1090" spans="2:9">
      <c r="B1090" s="111"/>
      <c r="C1090" s="111"/>
      <c r="D1090" s="111"/>
      <c r="E1090" s="111"/>
      <c r="F1090" s="111"/>
      <c r="G1090" s="111"/>
      <c r="H1090" s="69"/>
      <c r="I1090" s="69"/>
    </row>
    <row r="1091" spans="2:9">
      <c r="B1091" s="111"/>
      <c r="C1091" s="111"/>
      <c r="D1091" s="111"/>
      <c r="E1091" s="111"/>
      <c r="F1091" s="111"/>
      <c r="G1091" s="111"/>
      <c r="H1091" s="69"/>
      <c r="I1091" s="69"/>
    </row>
    <row r="1092" spans="2:9">
      <c r="B1092" s="111"/>
      <c r="C1092" s="111"/>
      <c r="D1092" s="111"/>
      <c r="E1092" s="111"/>
      <c r="F1092" s="111"/>
      <c r="G1092" s="111"/>
      <c r="H1092" s="69"/>
      <c r="I1092" s="69"/>
    </row>
    <row r="1093" spans="2:9">
      <c r="B1093" s="111"/>
      <c r="C1093" s="111"/>
      <c r="D1093" s="111"/>
      <c r="E1093" s="111"/>
      <c r="F1093" s="111"/>
      <c r="G1093" s="111"/>
      <c r="H1093" s="69"/>
      <c r="I1093" s="69"/>
    </row>
    <row r="1094" spans="2:9">
      <c r="B1094" s="111"/>
      <c r="C1094" s="111"/>
      <c r="D1094" s="111"/>
      <c r="E1094" s="111"/>
      <c r="F1094" s="111"/>
      <c r="G1094" s="111"/>
      <c r="H1094" s="69"/>
      <c r="I1094" s="69"/>
    </row>
    <row r="1095" spans="2:9">
      <c r="B1095" s="111"/>
      <c r="C1095" s="111"/>
      <c r="D1095" s="111"/>
      <c r="E1095" s="111"/>
      <c r="F1095" s="111"/>
      <c r="G1095" s="111"/>
      <c r="H1095" s="69"/>
      <c r="I1095" s="69"/>
    </row>
    <row r="1096" spans="2:9">
      <c r="B1096" s="111"/>
      <c r="C1096" s="111"/>
      <c r="D1096" s="111"/>
      <c r="E1096" s="111"/>
      <c r="F1096" s="111"/>
      <c r="G1096" s="111"/>
      <c r="H1096" s="69"/>
      <c r="I1096" s="69"/>
    </row>
    <row r="1097" spans="2:9">
      <c r="B1097" s="111"/>
      <c r="C1097" s="111"/>
      <c r="D1097" s="111"/>
      <c r="E1097" s="111"/>
      <c r="F1097" s="111"/>
      <c r="G1097" s="111"/>
      <c r="H1097" s="69"/>
      <c r="I1097" s="69"/>
    </row>
    <row r="1098" spans="2:9">
      <c r="B1098" s="111"/>
      <c r="C1098" s="111"/>
      <c r="D1098" s="111"/>
      <c r="E1098" s="111"/>
      <c r="F1098" s="111"/>
      <c r="G1098" s="111"/>
      <c r="H1098" s="69"/>
      <c r="I1098" s="69"/>
    </row>
    <row r="1099" spans="2:9">
      <c r="B1099" s="111"/>
      <c r="C1099" s="111"/>
      <c r="D1099" s="111"/>
      <c r="E1099" s="111"/>
      <c r="F1099" s="111"/>
      <c r="G1099" s="111"/>
      <c r="H1099" s="69"/>
      <c r="I1099" s="69"/>
    </row>
    <row r="1100" spans="2:9">
      <c r="B1100" s="111"/>
      <c r="C1100" s="111"/>
      <c r="D1100" s="111"/>
      <c r="E1100" s="111"/>
      <c r="F1100" s="111"/>
      <c r="G1100" s="111"/>
      <c r="H1100" s="69"/>
      <c r="I1100" s="69"/>
    </row>
    <row r="1101" spans="2:9">
      <c r="B1101" s="111"/>
      <c r="C1101" s="111"/>
      <c r="D1101" s="111"/>
      <c r="E1101" s="111"/>
      <c r="F1101" s="111"/>
      <c r="G1101" s="111"/>
      <c r="H1101" s="69"/>
      <c r="I1101" s="69"/>
    </row>
    <row r="1102" spans="2:9">
      <c r="B1102" s="111"/>
      <c r="C1102" s="111"/>
      <c r="D1102" s="111"/>
      <c r="E1102" s="111"/>
      <c r="F1102" s="111"/>
      <c r="G1102" s="111"/>
      <c r="H1102" s="69"/>
      <c r="I1102" s="69"/>
    </row>
    <row r="1103" spans="2:9">
      <c r="B1103" s="111"/>
      <c r="C1103" s="111"/>
      <c r="D1103" s="111"/>
      <c r="E1103" s="111"/>
      <c r="F1103" s="111"/>
      <c r="G1103" s="111"/>
      <c r="H1103" s="69"/>
      <c r="I1103" s="69"/>
    </row>
    <row r="1104" spans="2:9">
      <c r="B1104" s="111"/>
      <c r="C1104" s="111"/>
      <c r="D1104" s="111"/>
      <c r="E1104" s="111"/>
      <c r="F1104" s="111"/>
      <c r="G1104" s="111"/>
      <c r="H1104" s="69"/>
      <c r="I1104" s="69"/>
    </row>
    <row r="1105" spans="2:9">
      <c r="B1105" s="111"/>
      <c r="C1105" s="111"/>
      <c r="D1105" s="111"/>
      <c r="E1105" s="111"/>
      <c r="F1105" s="111"/>
      <c r="G1105" s="111"/>
      <c r="H1105" s="69"/>
      <c r="I1105" s="69"/>
    </row>
    <row r="1106" spans="2:9">
      <c r="B1106" s="111"/>
      <c r="C1106" s="111"/>
      <c r="D1106" s="111"/>
      <c r="E1106" s="111"/>
      <c r="F1106" s="111"/>
      <c r="G1106" s="111"/>
      <c r="H1106" s="69"/>
      <c r="I1106" s="69"/>
    </row>
    <row r="1107" spans="2:9">
      <c r="B1107" s="111"/>
      <c r="C1107" s="111"/>
      <c r="D1107" s="111"/>
      <c r="E1107" s="111"/>
      <c r="F1107" s="111"/>
      <c r="G1107" s="111"/>
      <c r="H1107" s="69"/>
      <c r="I1107" s="69"/>
    </row>
    <row r="1108" spans="2:9">
      <c r="B1108" s="111"/>
      <c r="C1108" s="111"/>
      <c r="D1108" s="111"/>
      <c r="E1108" s="111"/>
      <c r="F1108" s="111"/>
      <c r="G1108" s="111"/>
      <c r="H1108" s="69"/>
      <c r="I1108" s="69"/>
    </row>
    <row r="1109" spans="2:9">
      <c r="B1109" s="111"/>
      <c r="C1109" s="111"/>
      <c r="D1109" s="111"/>
      <c r="E1109" s="111"/>
      <c r="F1109" s="111"/>
      <c r="G1109" s="111"/>
      <c r="H1109" s="69"/>
      <c r="I1109" s="69"/>
    </row>
    <row r="1110" spans="2:9">
      <c r="B1110" s="111"/>
      <c r="C1110" s="111"/>
      <c r="D1110" s="111"/>
      <c r="E1110" s="111"/>
      <c r="F1110" s="111"/>
      <c r="G1110" s="111"/>
      <c r="H1110" s="69"/>
      <c r="I1110" s="69"/>
    </row>
    <row r="1111" spans="2:9">
      <c r="B1111" s="111"/>
      <c r="C1111" s="111"/>
      <c r="D1111" s="111"/>
      <c r="E1111" s="111"/>
      <c r="F1111" s="111"/>
      <c r="G1111" s="111"/>
      <c r="H1111" s="69"/>
      <c r="I1111" s="69"/>
    </row>
    <row r="1112" spans="2:9">
      <c r="B1112" s="111"/>
      <c r="C1112" s="111"/>
      <c r="D1112" s="111"/>
      <c r="E1112" s="111"/>
      <c r="F1112" s="111"/>
      <c r="G1112" s="111"/>
      <c r="H1112" s="69"/>
      <c r="I1112" s="69"/>
    </row>
    <row r="1113" spans="2:9">
      <c r="B1113" s="111"/>
      <c r="C1113" s="111"/>
      <c r="D1113" s="111"/>
      <c r="E1113" s="111"/>
      <c r="F1113" s="111"/>
      <c r="G1113" s="111"/>
      <c r="H1113" s="69"/>
      <c r="I1113" s="69"/>
    </row>
    <row r="1114" spans="2:9">
      <c r="B1114" s="111"/>
      <c r="C1114" s="111"/>
      <c r="D1114" s="111"/>
      <c r="E1114" s="111"/>
      <c r="F1114" s="111"/>
      <c r="G1114" s="111"/>
      <c r="H1114" s="69"/>
      <c r="I1114" s="69"/>
    </row>
    <row r="1115" spans="2:9">
      <c r="B1115" s="111"/>
      <c r="C1115" s="111"/>
      <c r="D1115" s="111"/>
      <c r="E1115" s="111"/>
      <c r="F1115" s="111"/>
      <c r="G1115" s="111"/>
      <c r="H1115" s="69"/>
      <c r="I1115" s="69"/>
    </row>
    <row r="1116" spans="2:9">
      <c r="B1116" s="111"/>
      <c r="C1116" s="111"/>
      <c r="D1116" s="111"/>
      <c r="E1116" s="111"/>
      <c r="F1116" s="111"/>
      <c r="G1116" s="111"/>
      <c r="H1116" s="69"/>
      <c r="I1116" s="69"/>
    </row>
    <row r="1117" spans="2:9">
      <c r="B1117" s="111"/>
      <c r="C1117" s="111"/>
      <c r="D1117" s="111"/>
      <c r="E1117" s="111"/>
      <c r="F1117" s="111"/>
      <c r="G1117" s="111"/>
      <c r="H1117" s="69"/>
      <c r="I1117" s="69"/>
    </row>
    <row r="1118" spans="2:9">
      <c r="B1118" s="111"/>
      <c r="C1118" s="111"/>
      <c r="D1118" s="111"/>
      <c r="E1118" s="111"/>
      <c r="F1118" s="111"/>
      <c r="G1118" s="111"/>
      <c r="H1118" s="69"/>
      <c r="I1118" s="69"/>
    </row>
    <row r="1119" spans="2:9">
      <c r="B1119" s="111"/>
      <c r="C1119" s="111"/>
      <c r="D1119" s="111"/>
      <c r="E1119" s="111"/>
      <c r="F1119" s="111"/>
      <c r="G1119" s="111"/>
      <c r="H1119" s="69"/>
      <c r="I1119" s="69"/>
    </row>
    <row r="1120" spans="2:9">
      <c r="B1120" s="111"/>
      <c r="C1120" s="111"/>
      <c r="D1120" s="111"/>
      <c r="E1120" s="111"/>
      <c r="F1120" s="111"/>
      <c r="G1120" s="111"/>
      <c r="H1120" s="69"/>
      <c r="I1120" s="69"/>
    </row>
    <row r="1121" spans="2:9">
      <c r="B1121" s="111"/>
      <c r="C1121" s="111"/>
      <c r="D1121" s="111"/>
      <c r="E1121" s="111"/>
      <c r="F1121" s="111"/>
      <c r="G1121" s="111"/>
      <c r="H1121" s="69"/>
      <c r="I1121" s="69"/>
    </row>
    <row r="1122" spans="2:9">
      <c r="B1122" s="111"/>
      <c r="C1122" s="111"/>
      <c r="D1122" s="111"/>
      <c r="E1122" s="111"/>
      <c r="F1122" s="111"/>
      <c r="G1122" s="111"/>
      <c r="H1122" s="69"/>
      <c r="I1122" s="69"/>
    </row>
    <row r="1123" spans="2:9">
      <c r="B1123" s="111"/>
      <c r="C1123" s="111"/>
      <c r="D1123" s="111"/>
      <c r="E1123" s="111"/>
      <c r="F1123" s="111"/>
      <c r="G1123" s="111"/>
      <c r="H1123" s="69"/>
      <c r="I1123" s="69"/>
    </row>
    <row r="1124" spans="2:9">
      <c r="B1124" s="111"/>
      <c r="C1124" s="111"/>
      <c r="D1124" s="111"/>
      <c r="E1124" s="111"/>
      <c r="F1124" s="111"/>
      <c r="G1124" s="111"/>
      <c r="H1124" s="69"/>
      <c r="I1124" s="69"/>
    </row>
    <row r="1125" spans="2:9">
      <c r="B1125" s="111"/>
      <c r="C1125" s="111"/>
      <c r="D1125" s="111"/>
      <c r="E1125" s="111"/>
      <c r="F1125" s="111"/>
      <c r="G1125" s="111"/>
      <c r="H1125" s="69"/>
      <c r="I1125" s="69"/>
    </row>
    <row r="1126" spans="2:9">
      <c r="B1126" s="111"/>
      <c r="C1126" s="111"/>
      <c r="D1126" s="111"/>
      <c r="E1126" s="111"/>
      <c r="F1126" s="111"/>
      <c r="G1126" s="111"/>
      <c r="H1126" s="69"/>
      <c r="I1126" s="69"/>
    </row>
    <row r="1127" spans="2:9">
      <c r="B1127" s="111"/>
      <c r="C1127" s="111"/>
      <c r="D1127" s="111"/>
      <c r="E1127" s="111"/>
      <c r="F1127" s="111"/>
      <c r="G1127" s="111"/>
      <c r="H1127" s="69"/>
      <c r="I1127" s="69"/>
    </row>
    <row r="1128" spans="2:9">
      <c r="B1128" s="111"/>
      <c r="C1128" s="111"/>
      <c r="D1128" s="111"/>
      <c r="E1128" s="111"/>
      <c r="F1128" s="111"/>
      <c r="G1128" s="111"/>
      <c r="H1128" s="69"/>
      <c r="I1128" s="69"/>
    </row>
    <row r="1129" spans="2:9">
      <c r="B1129" s="111"/>
      <c r="C1129" s="111"/>
      <c r="D1129" s="111"/>
      <c r="E1129" s="111"/>
      <c r="F1129" s="111"/>
      <c r="G1129" s="111"/>
      <c r="H1129" s="69"/>
      <c r="I1129" s="69"/>
    </row>
    <row r="1130" spans="2:9">
      <c r="B1130" s="111"/>
      <c r="C1130" s="111"/>
      <c r="D1130" s="111"/>
      <c r="E1130" s="111"/>
      <c r="F1130" s="111"/>
      <c r="G1130" s="111"/>
      <c r="H1130" s="69"/>
      <c r="I1130" s="69"/>
    </row>
    <row r="1131" spans="2:9">
      <c r="B1131" s="111"/>
      <c r="C1131" s="111"/>
      <c r="D1131" s="111"/>
      <c r="E1131" s="111"/>
      <c r="F1131" s="111"/>
      <c r="G1131" s="111"/>
      <c r="H1131" s="69"/>
      <c r="I1131" s="69"/>
    </row>
    <row r="1132" spans="2:9">
      <c r="B1132" s="111"/>
      <c r="C1132" s="111"/>
      <c r="D1132" s="111"/>
      <c r="E1132" s="111"/>
      <c r="F1132" s="111"/>
      <c r="G1132" s="111"/>
      <c r="H1132" s="69"/>
      <c r="I1132" s="69"/>
    </row>
    <row r="1133" spans="2:9">
      <c r="B1133" s="111"/>
      <c r="C1133" s="111"/>
      <c r="D1133" s="111"/>
      <c r="E1133" s="111"/>
      <c r="F1133" s="111"/>
      <c r="G1133" s="111"/>
      <c r="H1133" s="69"/>
      <c r="I1133" s="69"/>
    </row>
    <row r="1134" spans="2:9">
      <c r="B1134" s="111"/>
      <c r="C1134" s="111"/>
      <c r="D1134" s="111"/>
      <c r="E1134" s="111"/>
      <c r="F1134" s="111"/>
      <c r="G1134" s="111"/>
      <c r="H1134" s="69"/>
      <c r="I1134" s="69"/>
    </row>
    <row r="1135" spans="2:9">
      <c r="B1135" s="111"/>
      <c r="C1135" s="111"/>
      <c r="D1135" s="111"/>
      <c r="E1135" s="111"/>
      <c r="F1135" s="111"/>
      <c r="G1135" s="111"/>
      <c r="H1135" s="69"/>
      <c r="I1135" s="69"/>
    </row>
    <row r="1136" spans="2:9">
      <c r="B1136" s="111"/>
      <c r="C1136" s="111"/>
      <c r="D1136" s="111"/>
      <c r="E1136" s="111"/>
      <c r="F1136" s="111"/>
      <c r="G1136" s="111"/>
      <c r="H1136" s="69"/>
      <c r="I1136" s="69"/>
    </row>
    <row r="1137" spans="2:9">
      <c r="B1137" s="111"/>
      <c r="C1137" s="111"/>
      <c r="D1137" s="111"/>
      <c r="E1137" s="111"/>
      <c r="F1137" s="111"/>
      <c r="G1137" s="111"/>
      <c r="H1137" s="69"/>
      <c r="I1137" s="69"/>
    </row>
    <row r="1138" spans="2:9">
      <c r="B1138" s="111"/>
      <c r="C1138" s="111"/>
      <c r="D1138" s="111"/>
      <c r="E1138" s="111"/>
      <c r="F1138" s="111"/>
      <c r="G1138" s="111"/>
      <c r="H1138" s="69"/>
      <c r="I1138" s="69"/>
    </row>
    <row r="1139" spans="2:9">
      <c r="B1139" s="111"/>
      <c r="C1139" s="111"/>
      <c r="D1139" s="111"/>
      <c r="E1139" s="111"/>
      <c r="F1139" s="111"/>
      <c r="G1139" s="111"/>
      <c r="H1139" s="69"/>
      <c r="I1139" s="69"/>
    </row>
    <row r="1140" spans="2:9">
      <c r="B1140" s="111"/>
      <c r="C1140" s="111"/>
      <c r="D1140" s="111"/>
      <c r="E1140" s="111"/>
      <c r="F1140" s="111"/>
      <c r="G1140" s="111"/>
      <c r="H1140" s="69"/>
      <c r="I1140" s="69"/>
    </row>
    <row r="1141" spans="2:9">
      <c r="B1141" s="111"/>
      <c r="C1141" s="111"/>
      <c r="D1141" s="111"/>
      <c r="E1141" s="111"/>
      <c r="F1141" s="111"/>
      <c r="G1141" s="111"/>
      <c r="H1141" s="69"/>
      <c r="I1141" s="69"/>
    </row>
    <row r="1142" spans="2:9">
      <c r="B1142" s="111"/>
      <c r="C1142" s="111"/>
      <c r="D1142" s="111"/>
      <c r="E1142" s="111"/>
      <c r="F1142" s="111"/>
      <c r="G1142" s="111"/>
      <c r="H1142" s="69"/>
      <c r="I1142" s="69"/>
    </row>
    <row r="1143" spans="2:9">
      <c r="B1143" s="111"/>
      <c r="C1143" s="111"/>
      <c r="D1143" s="111"/>
      <c r="E1143" s="111"/>
      <c r="F1143" s="111"/>
      <c r="G1143" s="111"/>
      <c r="H1143" s="69"/>
      <c r="I1143" s="69"/>
    </row>
    <row r="1144" spans="2:9">
      <c r="B1144" s="111"/>
      <c r="C1144" s="111"/>
      <c r="D1144" s="111"/>
      <c r="E1144" s="111"/>
      <c r="F1144" s="111"/>
      <c r="G1144" s="111"/>
      <c r="H1144" s="69"/>
      <c r="I1144" s="69"/>
    </row>
    <row r="1145" spans="2:9">
      <c r="B1145" s="111"/>
      <c r="C1145" s="111"/>
      <c r="D1145" s="111"/>
      <c r="E1145" s="111"/>
      <c r="F1145" s="111"/>
      <c r="G1145" s="111"/>
      <c r="H1145" s="69"/>
      <c r="I1145" s="69"/>
    </row>
    <row r="1146" spans="2:9">
      <c r="B1146" s="111"/>
      <c r="C1146" s="111"/>
      <c r="D1146" s="111"/>
      <c r="E1146" s="111"/>
      <c r="F1146" s="111"/>
      <c r="G1146" s="111"/>
      <c r="H1146" s="69"/>
      <c r="I1146" s="69"/>
    </row>
    <row r="1147" spans="2:9">
      <c r="B1147" s="111"/>
      <c r="C1147" s="111"/>
      <c r="D1147" s="111"/>
      <c r="E1147" s="111"/>
      <c r="F1147" s="111"/>
      <c r="G1147" s="111"/>
      <c r="H1147" s="69"/>
      <c r="I1147" s="69"/>
    </row>
    <row r="1148" spans="2:9">
      <c r="B1148" s="111"/>
      <c r="C1148" s="111"/>
      <c r="D1148" s="111"/>
      <c r="E1148" s="111"/>
      <c r="F1148" s="111"/>
      <c r="G1148" s="111"/>
      <c r="H1148" s="69"/>
      <c r="I1148" s="69"/>
    </row>
    <row r="1149" spans="2:9">
      <c r="B1149" s="111"/>
      <c r="C1149" s="111"/>
      <c r="D1149" s="111"/>
      <c r="E1149" s="111"/>
      <c r="F1149" s="111"/>
      <c r="G1149" s="111"/>
      <c r="H1149" s="69"/>
      <c r="I1149" s="69"/>
    </row>
    <row r="1150" spans="2:9">
      <c r="B1150" s="111"/>
      <c r="C1150" s="111"/>
      <c r="D1150" s="111"/>
      <c r="E1150" s="111"/>
      <c r="F1150" s="111"/>
      <c r="G1150" s="111"/>
      <c r="H1150" s="69"/>
      <c r="I1150" s="69"/>
    </row>
    <row r="1151" spans="2:9">
      <c r="B1151" s="111"/>
      <c r="C1151" s="111"/>
      <c r="D1151" s="111"/>
      <c r="E1151" s="111"/>
      <c r="F1151" s="111"/>
      <c r="G1151" s="111"/>
      <c r="H1151" s="69"/>
      <c r="I1151" s="69"/>
    </row>
    <row r="1152" spans="2:9">
      <c r="B1152" s="111"/>
      <c r="C1152" s="111"/>
      <c r="D1152" s="111"/>
      <c r="E1152" s="111"/>
      <c r="F1152" s="111"/>
      <c r="G1152" s="111"/>
      <c r="H1152" s="69"/>
      <c r="I1152" s="69"/>
    </row>
    <row r="1153" spans="2:9">
      <c r="B1153" s="111"/>
      <c r="C1153" s="111"/>
      <c r="D1153" s="111"/>
      <c r="E1153" s="111"/>
      <c r="F1153" s="111"/>
      <c r="G1153" s="111"/>
      <c r="H1153" s="69"/>
      <c r="I1153" s="69"/>
    </row>
    <row r="1154" spans="2:9">
      <c r="B1154" s="111"/>
      <c r="C1154" s="111"/>
      <c r="D1154" s="111"/>
      <c r="E1154" s="111"/>
      <c r="F1154" s="111"/>
      <c r="G1154" s="111"/>
      <c r="H1154" s="69"/>
      <c r="I1154" s="69"/>
    </row>
    <row r="1155" spans="2:9">
      <c r="B1155" s="111"/>
      <c r="C1155" s="111"/>
      <c r="D1155" s="111"/>
      <c r="E1155" s="111"/>
      <c r="F1155" s="111"/>
      <c r="G1155" s="111"/>
      <c r="H1155" s="69"/>
      <c r="I1155" s="69"/>
    </row>
    <row r="1156" spans="2:9">
      <c r="B1156" s="111"/>
      <c r="C1156" s="111"/>
      <c r="D1156" s="111"/>
      <c r="E1156" s="111"/>
      <c r="F1156" s="111"/>
      <c r="G1156" s="111"/>
      <c r="H1156" s="69"/>
      <c r="I1156" s="69"/>
    </row>
    <row r="1157" spans="2:9">
      <c r="B1157" s="111"/>
      <c r="C1157" s="111"/>
      <c r="D1157" s="111"/>
      <c r="E1157" s="111"/>
      <c r="F1157" s="111"/>
      <c r="G1157" s="111"/>
      <c r="H1157" s="69"/>
      <c r="I1157" s="69"/>
    </row>
    <row r="1158" spans="2:9">
      <c r="B1158" s="111"/>
      <c r="C1158" s="111"/>
      <c r="D1158" s="111"/>
      <c r="E1158" s="111"/>
      <c r="F1158" s="111"/>
      <c r="G1158" s="111"/>
      <c r="H1158" s="69"/>
      <c r="I1158" s="69"/>
    </row>
    <row r="1159" spans="2:9">
      <c r="B1159" s="111"/>
      <c r="C1159" s="111"/>
      <c r="D1159" s="111"/>
      <c r="E1159" s="111"/>
      <c r="F1159" s="111"/>
      <c r="G1159" s="111"/>
      <c r="H1159" s="69"/>
      <c r="I1159" s="69"/>
    </row>
    <row r="1160" spans="2:9">
      <c r="B1160" s="111"/>
      <c r="C1160" s="111"/>
      <c r="D1160" s="111"/>
      <c r="E1160" s="111"/>
      <c r="F1160" s="111"/>
      <c r="G1160" s="111"/>
      <c r="H1160" s="69"/>
      <c r="I1160" s="69"/>
    </row>
    <row r="1161" spans="2:9">
      <c r="B1161" s="111"/>
      <c r="C1161" s="111"/>
      <c r="D1161" s="111"/>
      <c r="E1161" s="111"/>
      <c r="F1161" s="111"/>
      <c r="G1161" s="111"/>
      <c r="H1161" s="69"/>
      <c r="I1161" s="69"/>
    </row>
    <row r="1162" spans="2:9">
      <c r="B1162" s="111"/>
      <c r="C1162" s="111"/>
      <c r="D1162" s="111"/>
      <c r="E1162" s="111"/>
      <c r="F1162" s="111"/>
      <c r="G1162" s="111"/>
      <c r="H1162" s="69"/>
      <c r="I1162" s="69"/>
    </row>
    <row r="1163" spans="2:9">
      <c r="B1163" s="111"/>
      <c r="C1163" s="111"/>
      <c r="D1163" s="111"/>
      <c r="E1163" s="111"/>
      <c r="F1163" s="111"/>
      <c r="G1163" s="111"/>
      <c r="H1163" s="69"/>
      <c r="I1163" s="69"/>
    </row>
    <row r="1164" spans="2:9">
      <c r="B1164" s="111"/>
      <c r="C1164" s="111"/>
      <c r="D1164" s="111"/>
      <c r="E1164" s="111"/>
      <c r="F1164" s="111"/>
      <c r="G1164" s="111"/>
      <c r="H1164" s="69"/>
      <c r="I1164" s="69"/>
    </row>
    <row r="1165" spans="2:9">
      <c r="B1165" s="111"/>
      <c r="C1165" s="111"/>
      <c r="D1165" s="111"/>
      <c r="E1165" s="111"/>
      <c r="F1165" s="111"/>
      <c r="G1165" s="111"/>
      <c r="H1165" s="69"/>
      <c r="I1165" s="69"/>
    </row>
    <row r="1166" spans="2:9">
      <c r="B1166" s="111"/>
      <c r="C1166" s="111"/>
      <c r="D1166" s="111"/>
      <c r="E1166" s="111"/>
      <c r="F1166" s="111"/>
      <c r="G1166" s="111"/>
      <c r="H1166" s="69"/>
      <c r="I1166" s="69"/>
    </row>
    <row r="1167" spans="2:9">
      <c r="B1167" s="111"/>
      <c r="C1167" s="111"/>
      <c r="D1167" s="111"/>
      <c r="E1167" s="111"/>
      <c r="F1167" s="111"/>
      <c r="G1167" s="111"/>
      <c r="H1167" s="69"/>
      <c r="I1167" s="69"/>
    </row>
    <row r="1168" spans="2:9">
      <c r="B1168" s="111"/>
      <c r="C1168" s="111"/>
      <c r="D1168" s="111"/>
      <c r="E1168" s="111"/>
      <c r="F1168" s="111"/>
      <c r="G1168" s="111"/>
      <c r="H1168" s="69"/>
      <c r="I1168" s="69"/>
    </row>
    <row r="1169" spans="2:9">
      <c r="B1169" s="111"/>
      <c r="C1169" s="111"/>
      <c r="D1169" s="111"/>
      <c r="E1169" s="111"/>
      <c r="F1169" s="111"/>
      <c r="G1169" s="111"/>
      <c r="H1169" s="69"/>
      <c r="I1169" s="69"/>
    </row>
    <row r="1170" spans="2:9">
      <c r="B1170" s="111"/>
      <c r="C1170" s="111"/>
      <c r="D1170" s="111"/>
      <c r="E1170" s="111"/>
      <c r="F1170" s="111"/>
      <c r="G1170" s="111"/>
      <c r="H1170" s="69"/>
      <c r="I1170" s="69"/>
    </row>
    <row r="1171" spans="2:9">
      <c r="B1171" s="111"/>
      <c r="C1171" s="111"/>
      <c r="D1171" s="111"/>
      <c r="E1171" s="111"/>
      <c r="F1171" s="111"/>
      <c r="G1171" s="111"/>
      <c r="H1171" s="69"/>
      <c r="I1171" s="69"/>
    </row>
    <row r="1172" spans="2:9">
      <c r="B1172" s="111"/>
      <c r="C1172" s="111"/>
      <c r="D1172" s="111"/>
      <c r="E1172" s="111"/>
      <c r="F1172" s="111"/>
      <c r="G1172" s="111"/>
      <c r="H1172" s="69"/>
      <c r="I1172" s="69"/>
    </row>
    <row r="1173" spans="2:9">
      <c r="B1173" s="111"/>
      <c r="C1173" s="111"/>
      <c r="D1173" s="111"/>
      <c r="E1173" s="111"/>
      <c r="F1173" s="111"/>
      <c r="G1173" s="111"/>
      <c r="H1173" s="69"/>
      <c r="I1173" s="69"/>
    </row>
    <row r="1174" spans="2:9">
      <c r="B1174" s="111"/>
      <c r="C1174" s="111"/>
      <c r="D1174" s="111"/>
      <c r="E1174" s="111"/>
      <c r="F1174" s="111"/>
      <c r="G1174" s="111"/>
      <c r="H1174" s="69"/>
      <c r="I1174" s="69"/>
    </row>
    <row r="1175" spans="2:9">
      <c r="B1175" s="111"/>
      <c r="C1175" s="111"/>
      <c r="D1175" s="111"/>
      <c r="E1175" s="111"/>
      <c r="F1175" s="111"/>
      <c r="G1175" s="111"/>
      <c r="H1175" s="69"/>
      <c r="I1175" s="69"/>
    </row>
    <row r="1176" spans="2:9">
      <c r="B1176" s="111"/>
      <c r="C1176" s="111"/>
      <c r="D1176" s="111"/>
      <c r="E1176" s="111"/>
      <c r="F1176" s="111"/>
      <c r="G1176" s="111"/>
      <c r="H1176" s="69"/>
      <c r="I1176" s="69"/>
    </row>
    <row r="1177" spans="2:9">
      <c r="B1177" s="111"/>
      <c r="C1177" s="111"/>
      <c r="D1177" s="111"/>
      <c r="E1177" s="111"/>
      <c r="F1177" s="111"/>
      <c r="G1177" s="111"/>
      <c r="H1177" s="69"/>
      <c r="I1177" s="69"/>
    </row>
    <row r="1178" spans="2:9">
      <c r="B1178" s="111"/>
      <c r="C1178" s="111"/>
      <c r="D1178" s="111"/>
      <c r="E1178" s="111"/>
      <c r="F1178" s="111"/>
      <c r="G1178" s="111"/>
      <c r="H1178" s="69"/>
      <c r="I1178" s="69"/>
    </row>
    <row r="1179" spans="2:9">
      <c r="B1179" s="111"/>
      <c r="C1179" s="111"/>
      <c r="D1179" s="111"/>
      <c r="E1179" s="111"/>
      <c r="F1179" s="111"/>
      <c r="G1179" s="111"/>
      <c r="H1179" s="69"/>
      <c r="I1179" s="69"/>
    </row>
    <row r="1180" spans="2:9">
      <c r="B1180" s="111"/>
      <c r="C1180" s="111"/>
      <c r="D1180" s="111"/>
      <c r="E1180" s="111"/>
      <c r="F1180" s="111"/>
      <c r="G1180" s="111"/>
      <c r="H1180" s="69"/>
      <c r="I1180" s="69"/>
    </row>
    <row r="1181" spans="2:9">
      <c r="B1181" s="111"/>
      <c r="C1181" s="111"/>
      <c r="D1181" s="111"/>
      <c r="E1181" s="111"/>
      <c r="F1181" s="111"/>
      <c r="G1181" s="111"/>
      <c r="H1181" s="69"/>
      <c r="I1181" s="69"/>
    </row>
    <row r="1182" spans="2:9">
      <c r="B1182" s="111"/>
      <c r="C1182" s="111"/>
      <c r="D1182" s="111"/>
      <c r="E1182" s="111"/>
      <c r="F1182" s="111"/>
      <c r="G1182" s="111"/>
      <c r="H1182" s="69"/>
      <c r="I1182" s="69"/>
    </row>
    <row r="1183" spans="2:9">
      <c r="B1183" s="111"/>
      <c r="C1183" s="111"/>
      <c r="D1183" s="111"/>
      <c r="E1183" s="111"/>
      <c r="F1183" s="111"/>
      <c r="G1183" s="111"/>
      <c r="H1183" s="69"/>
      <c r="I1183" s="69"/>
    </row>
    <row r="1184" spans="2:9">
      <c r="B1184" s="111"/>
      <c r="C1184" s="111"/>
      <c r="D1184" s="111"/>
      <c r="E1184" s="111"/>
      <c r="F1184" s="111"/>
      <c r="G1184" s="111"/>
      <c r="H1184" s="69"/>
      <c r="I1184" s="69"/>
    </row>
    <row r="1185" spans="2:9">
      <c r="B1185" s="111"/>
      <c r="C1185" s="111"/>
      <c r="D1185" s="111"/>
      <c r="E1185" s="111"/>
      <c r="F1185" s="111"/>
      <c r="G1185" s="111"/>
      <c r="H1185" s="69"/>
      <c r="I1185" s="69"/>
    </row>
    <row r="1186" spans="2:9">
      <c r="B1186" s="111"/>
      <c r="C1186" s="111"/>
      <c r="D1186" s="111"/>
      <c r="E1186" s="111"/>
      <c r="F1186" s="111"/>
      <c r="G1186" s="111"/>
      <c r="H1186" s="69"/>
      <c r="I1186" s="69"/>
    </row>
    <row r="1187" spans="2:9">
      <c r="B1187" s="111"/>
      <c r="C1187" s="111"/>
      <c r="D1187" s="111"/>
      <c r="E1187" s="111"/>
      <c r="F1187" s="111"/>
      <c r="G1187" s="111"/>
      <c r="H1187" s="69"/>
      <c r="I1187" s="69"/>
    </row>
    <row r="1188" spans="2:9">
      <c r="B1188" s="111"/>
      <c r="C1188" s="111"/>
      <c r="D1188" s="111"/>
      <c r="E1188" s="111"/>
      <c r="F1188" s="111"/>
      <c r="G1188" s="111"/>
      <c r="H1188" s="69"/>
      <c r="I1188" s="69"/>
    </row>
    <row r="1189" spans="2:9">
      <c r="B1189" s="111"/>
      <c r="C1189" s="111"/>
      <c r="D1189" s="111"/>
      <c r="E1189" s="111"/>
      <c r="F1189" s="111"/>
      <c r="G1189" s="111"/>
      <c r="H1189" s="69"/>
      <c r="I1189" s="69"/>
    </row>
    <row r="1190" spans="2:9">
      <c r="B1190" s="111"/>
      <c r="C1190" s="111"/>
      <c r="D1190" s="111"/>
      <c r="E1190" s="111"/>
      <c r="F1190" s="111"/>
      <c r="G1190" s="111"/>
      <c r="H1190" s="69"/>
      <c r="I1190" s="69"/>
    </row>
    <row r="1191" spans="2:9">
      <c r="B1191" s="111"/>
      <c r="C1191" s="111"/>
      <c r="D1191" s="111"/>
      <c r="E1191" s="111"/>
      <c r="F1191" s="111"/>
      <c r="G1191" s="111"/>
      <c r="H1191" s="69"/>
      <c r="I1191" s="69"/>
    </row>
    <row r="1192" spans="2:9">
      <c r="B1192" s="111"/>
      <c r="C1192" s="111"/>
      <c r="D1192" s="111"/>
      <c r="E1192" s="111"/>
      <c r="F1192" s="111"/>
      <c r="G1192" s="111"/>
      <c r="H1192" s="69"/>
      <c r="I1192" s="69"/>
    </row>
    <row r="1193" spans="2:9">
      <c r="B1193" s="111"/>
      <c r="C1193" s="111"/>
      <c r="D1193" s="111"/>
      <c r="E1193" s="111"/>
      <c r="F1193" s="111"/>
      <c r="G1193" s="111"/>
      <c r="H1193" s="69"/>
      <c r="I1193" s="69"/>
    </row>
    <row r="1194" spans="2:9">
      <c r="B1194" s="111"/>
      <c r="C1194" s="111"/>
      <c r="D1194" s="111"/>
      <c r="E1194" s="111"/>
      <c r="F1194" s="111"/>
      <c r="G1194" s="111"/>
      <c r="H1194" s="69"/>
      <c r="I1194" s="69"/>
    </row>
    <row r="1195" spans="2:9">
      <c r="B1195" s="111"/>
      <c r="C1195" s="111"/>
      <c r="D1195" s="111"/>
      <c r="E1195" s="111"/>
      <c r="F1195" s="111"/>
      <c r="G1195" s="111"/>
      <c r="H1195" s="69"/>
      <c r="I1195" s="69"/>
    </row>
    <row r="1196" spans="2:9">
      <c r="B1196" s="111"/>
      <c r="C1196" s="111"/>
      <c r="D1196" s="111"/>
      <c r="E1196" s="111"/>
      <c r="F1196" s="111"/>
      <c r="G1196" s="111"/>
      <c r="H1196" s="69"/>
      <c r="I1196" s="69"/>
    </row>
    <row r="1197" spans="2:9">
      <c r="B1197" s="111"/>
      <c r="C1197" s="111"/>
      <c r="D1197" s="111"/>
      <c r="E1197" s="111"/>
      <c r="F1197" s="111"/>
      <c r="G1197" s="111"/>
      <c r="H1197" s="69"/>
      <c r="I1197" s="69"/>
    </row>
    <row r="1198" spans="2:9">
      <c r="B1198" s="111"/>
      <c r="C1198" s="111"/>
      <c r="D1198" s="111"/>
      <c r="E1198" s="111"/>
      <c r="F1198" s="111"/>
      <c r="G1198" s="111"/>
      <c r="H1198" s="69"/>
      <c r="I1198" s="69"/>
    </row>
    <row r="1199" spans="2:9">
      <c r="B1199" s="111"/>
      <c r="C1199" s="111"/>
      <c r="D1199" s="111"/>
      <c r="E1199" s="111"/>
      <c r="F1199" s="111"/>
      <c r="G1199" s="111"/>
      <c r="H1199" s="69"/>
      <c r="I1199" s="69"/>
    </row>
    <row r="1200" spans="2:9">
      <c r="B1200" s="111"/>
      <c r="C1200" s="111"/>
      <c r="D1200" s="111"/>
      <c r="E1200" s="111"/>
      <c r="F1200" s="111"/>
      <c r="G1200" s="111"/>
      <c r="H1200" s="69"/>
      <c r="I1200" s="69"/>
    </row>
    <row r="1201" spans="2:9">
      <c r="B1201" s="111"/>
      <c r="C1201" s="111"/>
      <c r="D1201" s="111"/>
      <c r="E1201" s="111"/>
      <c r="F1201" s="111"/>
      <c r="G1201" s="111"/>
      <c r="H1201" s="69"/>
      <c r="I1201" s="69"/>
    </row>
    <row r="1202" spans="2:9">
      <c r="B1202" s="111"/>
      <c r="C1202" s="111"/>
      <c r="D1202" s="111"/>
      <c r="E1202" s="111"/>
      <c r="F1202" s="111"/>
      <c r="G1202" s="111"/>
      <c r="H1202" s="69"/>
      <c r="I1202" s="69"/>
    </row>
    <row r="1203" spans="2:9">
      <c r="B1203" s="111"/>
      <c r="C1203" s="111"/>
      <c r="D1203" s="111"/>
      <c r="E1203" s="111"/>
      <c r="F1203" s="111"/>
      <c r="G1203" s="111"/>
      <c r="H1203" s="69"/>
      <c r="I1203" s="69"/>
    </row>
    <row r="1204" spans="2:9">
      <c r="B1204" s="111"/>
      <c r="C1204" s="111"/>
      <c r="D1204" s="111"/>
      <c r="E1204" s="111"/>
      <c r="F1204" s="111"/>
      <c r="G1204" s="111"/>
      <c r="H1204" s="69"/>
      <c r="I1204" s="69"/>
    </row>
    <row r="1205" spans="2:9">
      <c r="B1205" s="111"/>
      <c r="C1205" s="111"/>
      <c r="D1205" s="111"/>
      <c r="E1205" s="111"/>
      <c r="F1205" s="111"/>
      <c r="G1205" s="111"/>
      <c r="H1205" s="69"/>
      <c r="I1205" s="69"/>
    </row>
    <row r="1206" spans="2:9">
      <c r="B1206" s="111"/>
      <c r="C1206" s="111"/>
      <c r="D1206" s="111"/>
      <c r="E1206" s="111"/>
      <c r="F1206" s="111"/>
      <c r="G1206" s="111"/>
      <c r="H1206" s="69"/>
      <c r="I1206" s="69"/>
    </row>
    <row r="1207" spans="2:9">
      <c r="B1207" s="111"/>
      <c r="C1207" s="111"/>
      <c r="D1207" s="111"/>
      <c r="E1207" s="111"/>
      <c r="F1207" s="111"/>
      <c r="G1207" s="111"/>
      <c r="H1207" s="69"/>
      <c r="I1207" s="69"/>
    </row>
    <row r="1208" spans="2:9">
      <c r="B1208" s="111"/>
      <c r="C1208" s="111"/>
      <c r="D1208" s="111"/>
      <c r="E1208" s="111"/>
      <c r="F1208" s="111"/>
      <c r="G1208" s="111"/>
      <c r="H1208" s="69"/>
      <c r="I1208" s="69"/>
    </row>
    <row r="1209" spans="2:9">
      <c r="B1209" s="111"/>
      <c r="C1209" s="111"/>
      <c r="D1209" s="111"/>
      <c r="E1209" s="111"/>
      <c r="F1209" s="111"/>
      <c r="G1209" s="111"/>
      <c r="H1209" s="69"/>
      <c r="I1209" s="69"/>
    </row>
    <row r="1210" spans="2:9">
      <c r="B1210" s="111"/>
      <c r="C1210" s="111"/>
      <c r="D1210" s="111"/>
      <c r="E1210" s="111"/>
      <c r="F1210" s="111"/>
      <c r="G1210" s="111"/>
      <c r="H1210" s="69"/>
      <c r="I1210" s="69"/>
    </row>
    <row r="1211" spans="2:9">
      <c r="B1211" s="111"/>
      <c r="C1211" s="111"/>
      <c r="D1211" s="111"/>
      <c r="E1211" s="111"/>
      <c r="F1211" s="111"/>
      <c r="G1211" s="111"/>
      <c r="H1211" s="69"/>
      <c r="I1211" s="69"/>
    </row>
    <row r="1212" spans="2:9">
      <c r="B1212" s="111"/>
      <c r="C1212" s="111"/>
      <c r="D1212" s="111"/>
      <c r="E1212" s="111"/>
      <c r="F1212" s="111"/>
      <c r="G1212" s="111"/>
      <c r="H1212" s="69"/>
      <c r="I1212" s="69"/>
    </row>
    <row r="1213" spans="2:9">
      <c r="B1213" s="111"/>
      <c r="C1213" s="111"/>
      <c r="D1213" s="111"/>
      <c r="E1213" s="111"/>
      <c r="F1213" s="111"/>
      <c r="G1213" s="111"/>
      <c r="H1213" s="69"/>
      <c r="I1213" s="69"/>
    </row>
    <row r="1214" spans="2:9">
      <c r="B1214" s="111"/>
      <c r="C1214" s="111"/>
      <c r="D1214" s="111"/>
      <c r="E1214" s="111"/>
      <c r="F1214" s="111"/>
      <c r="G1214" s="111"/>
      <c r="H1214" s="69"/>
      <c r="I1214" s="69"/>
    </row>
    <row r="1215" spans="2:9">
      <c r="B1215" s="111"/>
      <c r="C1215" s="111"/>
      <c r="D1215" s="111"/>
      <c r="E1215" s="111"/>
      <c r="F1215" s="111"/>
      <c r="G1215" s="111"/>
      <c r="H1215" s="69"/>
      <c r="I1215" s="69"/>
    </row>
    <row r="1216" spans="2:9">
      <c r="B1216" s="111"/>
      <c r="C1216" s="111"/>
      <c r="D1216" s="111"/>
      <c r="E1216" s="111"/>
      <c r="F1216" s="111"/>
      <c r="G1216" s="111"/>
      <c r="H1216" s="69"/>
      <c r="I1216" s="69"/>
    </row>
    <row r="1217" spans="2:9">
      <c r="B1217" s="111"/>
      <c r="C1217" s="111"/>
      <c r="D1217" s="111"/>
      <c r="E1217" s="111"/>
      <c r="F1217" s="111"/>
      <c r="G1217" s="111"/>
      <c r="H1217" s="69"/>
      <c r="I1217" s="69"/>
    </row>
    <row r="1218" spans="2:9">
      <c r="B1218" s="111"/>
      <c r="C1218" s="111"/>
      <c r="D1218" s="111"/>
      <c r="E1218" s="111"/>
      <c r="F1218" s="111"/>
      <c r="G1218" s="111"/>
      <c r="H1218" s="69"/>
      <c r="I1218" s="69"/>
    </row>
    <row r="1219" spans="2:9">
      <c r="B1219" s="111"/>
      <c r="C1219" s="111"/>
      <c r="D1219" s="111"/>
      <c r="E1219" s="111"/>
      <c r="F1219" s="111"/>
      <c r="G1219" s="111"/>
      <c r="H1219" s="69"/>
      <c r="I1219" s="69"/>
    </row>
    <row r="1220" spans="2:9">
      <c r="B1220" s="111"/>
      <c r="C1220" s="111"/>
      <c r="D1220" s="111"/>
      <c r="E1220" s="111"/>
      <c r="F1220" s="111"/>
      <c r="G1220" s="111"/>
      <c r="H1220" s="69"/>
      <c r="I1220" s="69"/>
    </row>
    <row r="1221" spans="2:9">
      <c r="B1221" s="111"/>
      <c r="C1221" s="111"/>
      <c r="D1221" s="111"/>
      <c r="E1221" s="111"/>
      <c r="F1221" s="111"/>
      <c r="G1221" s="111"/>
      <c r="H1221" s="69"/>
      <c r="I1221" s="69"/>
    </row>
    <row r="1222" spans="2:9">
      <c r="B1222" s="111"/>
      <c r="C1222" s="111"/>
      <c r="D1222" s="111"/>
      <c r="E1222" s="111"/>
      <c r="F1222" s="111"/>
      <c r="G1222" s="111"/>
      <c r="H1222" s="69"/>
      <c r="I1222" s="69"/>
    </row>
    <row r="1223" spans="2:9">
      <c r="B1223" s="111"/>
      <c r="C1223" s="111"/>
      <c r="D1223" s="111"/>
      <c r="E1223" s="111"/>
      <c r="F1223" s="111"/>
      <c r="G1223" s="111"/>
      <c r="H1223" s="69"/>
      <c r="I1223" s="69"/>
    </row>
    <row r="1224" spans="2:9">
      <c r="B1224" s="111"/>
      <c r="C1224" s="111"/>
      <c r="D1224" s="111"/>
      <c r="E1224" s="111"/>
      <c r="F1224" s="111"/>
      <c r="G1224" s="111"/>
      <c r="H1224" s="69"/>
      <c r="I1224" s="69"/>
    </row>
    <row r="1225" spans="2:9">
      <c r="B1225" s="111"/>
      <c r="C1225" s="111"/>
      <c r="D1225" s="111"/>
      <c r="E1225" s="111"/>
      <c r="F1225" s="111"/>
      <c r="G1225" s="111"/>
      <c r="H1225" s="69"/>
      <c r="I1225" s="69"/>
    </row>
    <row r="1226" spans="2:9">
      <c r="B1226" s="111"/>
      <c r="C1226" s="111"/>
      <c r="D1226" s="111"/>
      <c r="E1226" s="111"/>
      <c r="F1226" s="111"/>
      <c r="G1226" s="111"/>
      <c r="H1226" s="69"/>
      <c r="I1226" s="69"/>
    </row>
    <row r="1227" spans="2:9">
      <c r="B1227" s="111"/>
      <c r="C1227" s="111"/>
      <c r="D1227" s="111"/>
      <c r="E1227" s="111"/>
      <c r="F1227" s="111"/>
      <c r="G1227" s="111"/>
      <c r="H1227" s="69"/>
      <c r="I1227" s="69"/>
    </row>
    <row r="1228" spans="2:9">
      <c r="B1228" s="111"/>
      <c r="C1228" s="111"/>
      <c r="D1228" s="111"/>
      <c r="E1228" s="111"/>
      <c r="F1228" s="111"/>
      <c r="G1228" s="111"/>
      <c r="H1228" s="69"/>
      <c r="I1228" s="69"/>
    </row>
    <row r="1229" spans="2:9">
      <c r="B1229" s="111"/>
      <c r="C1229" s="111"/>
      <c r="D1229" s="111"/>
      <c r="E1229" s="111"/>
      <c r="F1229" s="111"/>
      <c r="G1229" s="111"/>
      <c r="H1229" s="69"/>
      <c r="I1229" s="69"/>
    </row>
    <row r="1230" spans="2:9">
      <c r="B1230" s="111"/>
      <c r="C1230" s="111"/>
      <c r="D1230" s="111"/>
      <c r="E1230" s="111"/>
      <c r="F1230" s="111"/>
      <c r="G1230" s="111"/>
      <c r="H1230" s="69"/>
      <c r="I1230" s="69"/>
    </row>
    <row r="1231" spans="2:9">
      <c r="B1231" s="111"/>
      <c r="C1231" s="111"/>
      <c r="D1231" s="111"/>
      <c r="E1231" s="111"/>
      <c r="F1231" s="111"/>
      <c r="G1231" s="111"/>
      <c r="H1231" s="69"/>
      <c r="I1231" s="69"/>
    </row>
    <row r="1232" spans="2:9">
      <c r="B1232" s="111"/>
      <c r="C1232" s="111"/>
      <c r="D1232" s="111"/>
      <c r="E1232" s="111"/>
      <c r="F1232" s="111"/>
      <c r="G1232" s="111"/>
      <c r="H1232" s="69"/>
      <c r="I1232" s="69"/>
    </row>
    <row r="1233" spans="2:9">
      <c r="B1233" s="111"/>
      <c r="C1233" s="111"/>
      <c r="D1233" s="111"/>
      <c r="E1233" s="111"/>
      <c r="F1233" s="111"/>
      <c r="G1233" s="111"/>
      <c r="H1233" s="69"/>
      <c r="I1233" s="69"/>
    </row>
    <row r="1234" spans="2:9">
      <c r="B1234" s="111"/>
      <c r="C1234" s="111"/>
      <c r="D1234" s="111"/>
      <c r="E1234" s="111"/>
      <c r="F1234" s="111"/>
      <c r="G1234" s="111"/>
      <c r="H1234" s="69"/>
      <c r="I1234" s="69"/>
    </row>
    <row r="1235" spans="2:9">
      <c r="B1235" s="111"/>
      <c r="C1235" s="111"/>
      <c r="D1235" s="111"/>
      <c r="E1235" s="111"/>
      <c r="F1235" s="111"/>
      <c r="G1235" s="111"/>
      <c r="H1235" s="69"/>
      <c r="I1235" s="69"/>
    </row>
    <row r="1236" spans="2:9">
      <c r="B1236" s="111"/>
      <c r="C1236" s="111"/>
      <c r="D1236" s="111"/>
      <c r="E1236" s="111"/>
      <c r="F1236" s="111"/>
      <c r="G1236" s="111"/>
      <c r="H1236" s="69"/>
      <c r="I1236" s="69"/>
    </row>
    <row r="1237" spans="2:9">
      <c r="B1237" s="111"/>
      <c r="C1237" s="111"/>
      <c r="D1237" s="111"/>
      <c r="E1237" s="111"/>
      <c r="F1237" s="111"/>
      <c r="G1237" s="111"/>
      <c r="H1237" s="69"/>
      <c r="I1237" s="69"/>
    </row>
    <row r="1238" spans="2:9">
      <c r="B1238" s="111"/>
      <c r="C1238" s="111"/>
      <c r="D1238" s="111"/>
      <c r="E1238" s="111"/>
      <c r="F1238" s="111"/>
      <c r="G1238" s="111"/>
      <c r="H1238" s="69"/>
      <c r="I1238" s="69"/>
    </row>
    <row r="1239" spans="2:9">
      <c r="B1239" s="111"/>
      <c r="C1239" s="111"/>
      <c r="D1239" s="111"/>
      <c r="E1239" s="111"/>
      <c r="F1239" s="111"/>
      <c r="G1239" s="111"/>
      <c r="H1239" s="69"/>
      <c r="I1239" s="69"/>
    </row>
    <row r="1240" spans="2:9">
      <c r="B1240" s="111"/>
      <c r="C1240" s="111"/>
      <c r="D1240" s="111"/>
      <c r="E1240" s="111"/>
      <c r="F1240" s="111"/>
      <c r="G1240" s="111"/>
      <c r="H1240" s="69"/>
      <c r="I1240" s="69"/>
    </row>
    <row r="1241" spans="2:9">
      <c r="B1241" s="111"/>
      <c r="C1241" s="111"/>
      <c r="D1241" s="111"/>
      <c r="E1241" s="111"/>
      <c r="F1241" s="111"/>
      <c r="G1241" s="111"/>
      <c r="H1241" s="69"/>
      <c r="I1241" s="69"/>
    </row>
    <row r="1242" spans="2:9">
      <c r="B1242" s="111"/>
      <c r="C1242" s="111"/>
      <c r="D1242" s="111"/>
      <c r="E1242" s="111"/>
      <c r="F1242" s="111"/>
      <c r="G1242" s="111"/>
      <c r="H1242" s="69"/>
      <c r="I1242" s="69"/>
    </row>
    <row r="1243" spans="2:9">
      <c r="B1243" s="111"/>
      <c r="C1243" s="111"/>
      <c r="D1243" s="111"/>
      <c r="E1243" s="111"/>
      <c r="F1243" s="111"/>
      <c r="G1243" s="111"/>
      <c r="H1243" s="69"/>
      <c r="I1243" s="69"/>
    </row>
    <row r="1244" spans="2:9">
      <c r="B1244" s="111"/>
      <c r="C1244" s="111"/>
      <c r="D1244" s="111"/>
      <c r="E1244" s="111"/>
      <c r="F1244" s="111"/>
      <c r="G1244" s="111"/>
      <c r="H1244" s="69"/>
      <c r="I1244" s="69"/>
    </row>
    <row r="1245" spans="2:9">
      <c r="B1245" s="111"/>
      <c r="C1245" s="111"/>
      <c r="D1245" s="111"/>
      <c r="E1245" s="111"/>
      <c r="F1245" s="111"/>
      <c r="G1245" s="111"/>
      <c r="H1245" s="69"/>
      <c r="I1245" s="69"/>
    </row>
    <row r="1246" spans="2:9">
      <c r="B1246" s="111"/>
      <c r="C1246" s="111"/>
      <c r="D1246" s="111"/>
      <c r="E1246" s="111"/>
      <c r="F1246" s="111"/>
      <c r="G1246" s="111"/>
      <c r="H1246" s="69"/>
      <c r="I1246" s="69"/>
    </row>
    <row r="1247" spans="2:9">
      <c r="B1247" s="111"/>
      <c r="C1247" s="111"/>
      <c r="D1247" s="111"/>
      <c r="E1247" s="111"/>
      <c r="F1247" s="111"/>
      <c r="G1247" s="111"/>
      <c r="H1247" s="69"/>
      <c r="I1247" s="69"/>
    </row>
    <row r="1248" spans="2:9">
      <c r="B1248" s="111"/>
      <c r="C1248" s="111"/>
      <c r="D1248" s="111"/>
      <c r="E1248" s="111"/>
      <c r="F1248" s="111"/>
      <c r="G1248" s="111"/>
      <c r="H1248" s="69"/>
      <c r="I1248" s="69"/>
    </row>
    <row r="1249" spans="2:9">
      <c r="B1249" s="111"/>
      <c r="C1249" s="111"/>
      <c r="D1249" s="111"/>
      <c r="E1249" s="111"/>
      <c r="F1249" s="111"/>
      <c r="G1249" s="111"/>
      <c r="H1249" s="69"/>
      <c r="I1249" s="69"/>
    </row>
    <row r="1250" spans="2:9">
      <c r="B1250" s="111"/>
      <c r="C1250" s="111"/>
      <c r="D1250" s="111"/>
      <c r="E1250" s="111"/>
      <c r="F1250" s="111"/>
      <c r="G1250" s="111"/>
      <c r="H1250" s="69"/>
      <c r="I1250" s="69"/>
    </row>
    <row r="1251" spans="2:9">
      <c r="B1251" s="111"/>
      <c r="C1251" s="111"/>
      <c r="D1251" s="111"/>
      <c r="E1251" s="111"/>
      <c r="F1251" s="111"/>
      <c r="G1251" s="111"/>
      <c r="H1251" s="69"/>
      <c r="I1251" s="69"/>
    </row>
    <row r="1252" spans="2:9">
      <c r="B1252" s="111"/>
      <c r="C1252" s="111"/>
      <c r="D1252" s="111"/>
      <c r="E1252" s="111"/>
      <c r="F1252" s="111"/>
      <c r="G1252" s="111"/>
      <c r="H1252" s="69"/>
      <c r="I1252" s="69"/>
    </row>
    <row r="1253" spans="2:9">
      <c r="B1253" s="111"/>
      <c r="C1253" s="111"/>
      <c r="D1253" s="111"/>
      <c r="E1253" s="111"/>
      <c r="F1253" s="111"/>
      <c r="G1253" s="111"/>
      <c r="H1253" s="69"/>
      <c r="I1253" s="69"/>
    </row>
    <row r="1254" spans="2:9">
      <c r="B1254" s="111"/>
      <c r="C1254" s="111"/>
      <c r="D1254" s="111"/>
      <c r="E1254" s="111"/>
      <c r="F1254" s="111"/>
      <c r="G1254" s="111"/>
      <c r="H1254" s="69"/>
      <c r="I1254" s="69"/>
    </row>
    <row r="1255" spans="2:9">
      <c r="B1255" s="111"/>
      <c r="C1255" s="111"/>
      <c r="D1255" s="111"/>
      <c r="E1255" s="111"/>
      <c r="F1255" s="111"/>
      <c r="G1255" s="111"/>
      <c r="H1255" s="69"/>
      <c r="I1255" s="69"/>
    </row>
    <row r="1256" spans="2:9">
      <c r="B1256" s="111"/>
      <c r="C1256" s="111"/>
      <c r="D1256" s="111"/>
      <c r="E1256" s="111"/>
      <c r="F1256" s="111"/>
      <c r="G1256" s="111"/>
      <c r="H1256" s="69"/>
      <c r="I1256" s="69"/>
    </row>
    <row r="1257" spans="2:9">
      <c r="B1257" s="111"/>
      <c r="C1257" s="111"/>
      <c r="D1257" s="111"/>
      <c r="E1257" s="111"/>
      <c r="F1257" s="111"/>
      <c r="G1257" s="111"/>
      <c r="H1257" s="69"/>
      <c r="I1257" s="69"/>
    </row>
    <row r="1258" spans="2:9">
      <c r="B1258" s="111"/>
      <c r="C1258" s="111"/>
      <c r="D1258" s="111"/>
      <c r="E1258" s="111"/>
      <c r="F1258" s="111"/>
      <c r="G1258" s="111"/>
      <c r="H1258" s="69"/>
      <c r="I1258" s="69"/>
    </row>
    <row r="1259" spans="2:9">
      <c r="B1259" s="111"/>
      <c r="C1259" s="111"/>
      <c r="D1259" s="111"/>
      <c r="E1259" s="111"/>
      <c r="F1259" s="111"/>
      <c r="G1259" s="111"/>
      <c r="H1259" s="69"/>
      <c r="I1259" s="69"/>
    </row>
    <row r="1260" spans="2:9">
      <c r="B1260" s="111"/>
      <c r="C1260" s="111"/>
      <c r="D1260" s="111"/>
      <c r="E1260" s="111"/>
      <c r="F1260" s="111"/>
      <c r="G1260" s="111"/>
      <c r="H1260" s="69"/>
      <c r="I1260" s="69"/>
    </row>
    <row r="1261" spans="2:9">
      <c r="B1261" s="111"/>
      <c r="C1261" s="111"/>
      <c r="D1261" s="111"/>
      <c r="E1261" s="111"/>
      <c r="F1261" s="111"/>
      <c r="G1261" s="111"/>
      <c r="H1261" s="69"/>
      <c r="I1261" s="69"/>
    </row>
    <row r="1262" spans="2:9">
      <c r="B1262" s="111"/>
      <c r="C1262" s="111"/>
      <c r="D1262" s="111"/>
      <c r="E1262" s="111"/>
      <c r="F1262" s="111"/>
      <c r="G1262" s="111"/>
      <c r="H1262" s="69"/>
      <c r="I1262" s="69"/>
    </row>
    <row r="1263" spans="2:9">
      <c r="B1263" s="111"/>
      <c r="C1263" s="111"/>
      <c r="D1263" s="111"/>
      <c r="E1263" s="111"/>
      <c r="F1263" s="111"/>
      <c r="G1263" s="111"/>
      <c r="H1263" s="69"/>
      <c r="I1263" s="69"/>
    </row>
    <row r="1264" spans="2:9">
      <c r="B1264" s="111"/>
      <c r="C1264" s="111"/>
      <c r="D1264" s="111"/>
      <c r="E1264" s="111"/>
      <c r="F1264" s="111"/>
      <c r="G1264" s="111"/>
      <c r="H1264" s="69"/>
      <c r="I1264" s="69"/>
    </row>
    <row r="1265" spans="2:9">
      <c r="B1265" s="111"/>
      <c r="C1265" s="111"/>
      <c r="D1265" s="111"/>
      <c r="E1265" s="111"/>
      <c r="F1265" s="111"/>
      <c r="G1265" s="111"/>
      <c r="H1265" s="69"/>
      <c r="I1265" s="69"/>
    </row>
    <row r="1266" spans="2:9">
      <c r="B1266" s="111"/>
      <c r="C1266" s="111"/>
      <c r="D1266" s="111"/>
      <c r="E1266" s="111"/>
      <c r="F1266" s="111"/>
      <c r="G1266" s="111"/>
      <c r="H1266" s="69"/>
      <c r="I1266" s="69"/>
    </row>
    <row r="1267" spans="2:9">
      <c r="B1267" s="111"/>
      <c r="C1267" s="111"/>
      <c r="D1267" s="111"/>
      <c r="E1267" s="111"/>
      <c r="F1267" s="111"/>
      <c r="G1267" s="111"/>
      <c r="H1267" s="69"/>
      <c r="I1267" s="69"/>
    </row>
    <row r="1268" spans="2:9">
      <c r="B1268" s="111"/>
      <c r="C1268" s="111"/>
      <c r="D1268" s="111"/>
      <c r="E1268" s="111"/>
      <c r="F1268" s="111"/>
      <c r="G1268" s="111"/>
      <c r="H1268" s="69"/>
      <c r="I1268" s="69"/>
    </row>
    <row r="1269" spans="2:9">
      <c r="B1269" s="111"/>
      <c r="C1269" s="111"/>
      <c r="D1269" s="111"/>
      <c r="E1269" s="111"/>
      <c r="F1269" s="111"/>
      <c r="G1269" s="111"/>
      <c r="H1269" s="69"/>
      <c r="I1269" s="69"/>
    </row>
    <row r="1270" spans="2:9">
      <c r="B1270" s="111"/>
      <c r="C1270" s="111"/>
      <c r="D1270" s="111"/>
      <c r="E1270" s="111"/>
      <c r="F1270" s="111"/>
      <c r="G1270" s="111"/>
      <c r="H1270" s="69"/>
      <c r="I1270" s="69"/>
    </row>
    <row r="1271" spans="2:9">
      <c r="B1271" s="111"/>
      <c r="C1271" s="111"/>
      <c r="D1271" s="111"/>
      <c r="E1271" s="111"/>
      <c r="F1271" s="111"/>
      <c r="G1271" s="111"/>
      <c r="H1271" s="69"/>
      <c r="I1271" s="69"/>
    </row>
  </sheetData>
  <mergeCells count="1">
    <mergeCell ref="B82:C82"/>
  </mergeCells>
  <conditionalFormatting sqref="Q54:Q58 J74:J65545 J50 J30 K43:K44 L43:L45 J2:J20 J40 J60:J71 Q44:Q48 Q34:Q38 Q24:Q28 K53:K54 L53:L55 K33:K34 L33:L35 K23:K24 L23:L25 J22:J25 J32:J36 J42:J46 J52:J55 U21 U46 U66 U83 P22 P32 P42 P52">
    <cfRule type="cellIs" dxfId="295" priority="28" stopIfTrue="1" operator="equal">
      <formula>"EFECTO POSITIVO"</formula>
    </cfRule>
  </conditionalFormatting>
  <conditionalFormatting sqref="B76:C76 E76 G76">
    <cfRule type="cellIs" dxfId="294" priority="25" operator="lessThan">
      <formula>0.1</formula>
    </cfRule>
    <cfRule type="cellIs" dxfId="293" priority="26" operator="greaterThan">
      <formula>0.2</formula>
    </cfRule>
    <cfRule type="cellIs" dxfId="292" priority="27" operator="between">
      <formula>0.1</formula>
      <formula>0.2</formula>
    </cfRule>
  </conditionalFormatting>
  <hyperlinks>
    <hyperlink ref="A1" location="Indice!A1" display="Volver a la página del Indice"/>
  </hyperlinks>
  <pageMargins left="0.75" right="0.75" top="1" bottom="1" header="0" footer="0"/>
  <pageSetup orientation="portrait" horizontalDpi="4294967293" verticalDpi="0" r:id="rId1"/>
  <headerFooter alignWithMargins="0"/>
  <ignoredErrors>
    <ignoredError sqref="G7:G17 G65:G68 G70:G74" formula="1"/>
  </ignoredErrors>
  <tableParts count="1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s>
</worksheet>
</file>

<file path=xl/worksheets/sheet12.xml><?xml version="1.0" encoding="utf-8"?>
<worksheet xmlns="http://schemas.openxmlformats.org/spreadsheetml/2006/main" xmlns:r="http://schemas.openxmlformats.org/officeDocument/2006/relationships">
  <dimension ref="B2:L55"/>
  <sheetViews>
    <sheetView showGridLines="0" tabSelected="1" topLeftCell="B2" zoomScale="115" zoomScaleNormal="115" workbookViewId="0">
      <selection activeCell="J19" sqref="J19"/>
    </sheetView>
  </sheetViews>
  <sheetFormatPr defaultRowHeight="14.25"/>
  <cols>
    <col min="1" max="1" width="9.140625" style="315"/>
    <col min="2" max="2" width="22.140625" style="315" bestFit="1" customWidth="1"/>
    <col min="3" max="3" width="17.7109375" style="315" customWidth="1"/>
    <col min="4" max="4" width="26.42578125" style="315" customWidth="1"/>
    <col min="5" max="5" width="14.42578125" style="315" customWidth="1"/>
    <col min="6" max="6" width="11.5703125" style="315" customWidth="1"/>
    <col min="7" max="11" width="11" style="315" customWidth="1"/>
    <col min="12" max="13" width="12" style="315" customWidth="1"/>
    <col min="14" max="16384" width="9.140625" style="315"/>
  </cols>
  <sheetData>
    <row r="2" spans="2:12" ht="15">
      <c r="B2" s="319" t="s">
        <v>199</v>
      </c>
    </row>
    <row r="4" spans="2:12" ht="15">
      <c r="B4" s="319" t="s">
        <v>215</v>
      </c>
    </row>
    <row r="5" spans="2:12">
      <c r="B5" s="320">
        <f>+C53</f>
        <v>39721</v>
      </c>
      <c r="C5" s="316" t="str">
        <f>IF('10.Puntualidad'!B76&gt;20%,'10.Puntualidad'!B82,IF(AND('10.Puntualidad'!B76&gt;10%,'10.Puntualidad'!B76&lt;20%),'10.Puntualidad'!B83,'10.Puntualidad'!B84))</f>
        <v>No constituye una protección suficiente</v>
      </c>
      <c r="D5" s="316"/>
      <c r="E5" s="316"/>
      <c r="F5" s="316"/>
      <c r="G5" s="316"/>
      <c r="H5" s="316"/>
      <c r="I5" s="316"/>
      <c r="J5" s="316"/>
      <c r="K5" s="316"/>
      <c r="L5" s="316"/>
    </row>
    <row r="6" spans="2:12">
      <c r="B6" s="321">
        <f>+D53</f>
        <v>40086</v>
      </c>
      <c r="C6" s="316" t="str">
        <f>IF('10.Puntualidad'!C76&gt;20%,'10.Puntualidad'!B82,IF(AND('10.Puntualidad'!C76&gt;10%,'10.Puntualidad'!C76&lt;20%),'10.Puntualidad'!B83,'10.Puntualidad'!B84))</f>
        <v>No constituye una protección suficiente</v>
      </c>
      <c r="D6" s="316"/>
      <c r="E6" s="316"/>
      <c r="F6" s="316"/>
      <c r="G6" s="316"/>
      <c r="H6" s="316"/>
      <c r="I6" s="316"/>
      <c r="J6" s="316"/>
      <c r="K6" s="316"/>
      <c r="L6" s="316"/>
    </row>
    <row r="7" spans="2:12">
      <c r="B7" s="321">
        <f>+E53</f>
        <v>40451</v>
      </c>
      <c r="C7" s="316" t="str">
        <f>IF('10.Puntualidad'!E76&gt;20%,'10.Puntualidad'!B82,IF(AND('10.Puntualidad'!E76&gt;10%,'10.Puntualidad'!E76&lt;20%),'10.Puntualidad'!B83,'10.Puntualidad'!B84))</f>
        <v>No constituye una protección suficiente</v>
      </c>
      <c r="D7" s="316"/>
      <c r="E7" s="316"/>
      <c r="F7" s="316"/>
      <c r="G7" s="316"/>
      <c r="H7" s="316"/>
      <c r="I7" s="316"/>
      <c r="J7" s="316"/>
      <c r="K7" s="316"/>
      <c r="L7" s="316"/>
    </row>
    <row r="8" spans="2:12">
      <c r="B8" s="321">
        <f>+F53</f>
        <v>40816</v>
      </c>
      <c r="C8" s="316" t="str">
        <f>IF('10.Puntualidad'!G76&gt;20%,'10.Puntualidad'!B82,IF(AND('10.Puntualidad'!G76&gt;10%,'10.Puntualidad'!G76&lt;20%),'10.Puntualidad'!B83,'10.Puntualidad'!B84))</f>
        <v>No constituye una protección suficiente</v>
      </c>
      <c r="D8" s="316"/>
      <c r="E8" s="316"/>
      <c r="F8" s="316"/>
      <c r="G8" s="316"/>
      <c r="H8" s="316"/>
      <c r="I8" s="316"/>
      <c r="J8" s="316"/>
      <c r="K8" s="316"/>
      <c r="L8" s="316"/>
    </row>
    <row r="9" spans="2:12" s="324" customFormat="1">
      <c r="B9" s="322"/>
      <c r="C9" s="323"/>
      <c r="D9" s="323"/>
      <c r="E9" s="323"/>
      <c r="F9" s="323"/>
      <c r="G9" s="323"/>
      <c r="H9" s="323"/>
      <c r="I9" s="323"/>
      <c r="J9" s="323"/>
      <c r="K9" s="323"/>
      <c r="L9" s="323"/>
    </row>
    <row r="10" spans="2:12" ht="15">
      <c r="B10" s="325" t="s">
        <v>216</v>
      </c>
      <c r="C10" s="326"/>
      <c r="D10" s="327"/>
      <c r="E10" s="327"/>
      <c r="F10" s="327"/>
      <c r="G10" s="327"/>
      <c r="H10" s="327"/>
      <c r="I10" s="327"/>
      <c r="J10" s="327"/>
      <c r="K10" s="327"/>
      <c r="L10" s="328"/>
    </row>
    <row r="11" spans="2:12">
      <c r="B11" s="317">
        <f>+'9.Fuentes y empleos'!B6</f>
        <v>40086</v>
      </c>
      <c r="C11" s="329" t="str">
        <f>+'9.Fuentes y empleos'!I41</f>
        <v>Sí existe equilibrio, porque las fuentes menos exigibles financian (superan) los empleos menos líquidos.</v>
      </c>
      <c r="D11" s="316"/>
      <c r="E11" s="316"/>
      <c r="F11" s="316"/>
      <c r="G11" s="316"/>
      <c r="H11" s="316"/>
      <c r="I11" s="316"/>
      <c r="J11" s="316"/>
      <c r="K11" s="316"/>
      <c r="L11" s="316"/>
    </row>
    <row r="12" spans="2:12">
      <c r="B12" s="317">
        <f>+'9.Fuentes y empleos'!B54</f>
        <v>40451</v>
      </c>
      <c r="C12" s="329" t="str">
        <f>+'9.Fuentes y empleos'!I90</f>
        <v>No existe equilibrio, porque las fuentes menos exigibles no están financiando (superan) los empleos menos líquidos.</v>
      </c>
      <c r="D12" s="316"/>
      <c r="E12" s="316"/>
      <c r="F12" s="316"/>
      <c r="G12" s="316"/>
      <c r="H12" s="316"/>
      <c r="I12" s="316"/>
      <c r="J12" s="316"/>
      <c r="K12" s="316"/>
      <c r="L12" s="316"/>
    </row>
    <row r="13" spans="2:12">
      <c r="B13" s="317">
        <f>+'9.Fuentes y empleos'!B101</f>
        <v>40816</v>
      </c>
      <c r="C13" s="329" t="str">
        <f>+'9.Fuentes y empleos'!I136</f>
        <v>No existe equilibrio, porque las fuentes menos exigibles no están financiando (superan) los empleos menos líquidos.</v>
      </c>
      <c r="D13" s="316"/>
      <c r="E13" s="316"/>
      <c r="F13" s="316"/>
      <c r="G13" s="316"/>
      <c r="H13" s="316"/>
      <c r="I13" s="316"/>
      <c r="J13" s="316"/>
      <c r="K13" s="316"/>
      <c r="L13" s="316"/>
    </row>
    <row r="14" spans="2:12">
      <c r="C14" s="316"/>
      <c r="D14" s="316"/>
      <c r="E14" s="316"/>
      <c r="F14" s="316"/>
      <c r="G14" s="316"/>
      <c r="H14" s="316"/>
      <c r="I14" s="316"/>
      <c r="J14" s="316"/>
      <c r="K14" s="316"/>
      <c r="L14" s="316"/>
    </row>
    <row r="15" spans="2:12" s="324" customFormat="1" ht="15">
      <c r="B15" s="330" t="s">
        <v>45</v>
      </c>
      <c r="C15" s="338" t="s">
        <v>231</v>
      </c>
      <c r="D15" s="331"/>
      <c r="E15" s="331"/>
      <c r="F15" s="339"/>
      <c r="G15" s="339"/>
      <c r="H15" s="323"/>
      <c r="I15" s="323"/>
      <c r="J15" s="332"/>
      <c r="K15" s="323"/>
      <c r="L15" s="323"/>
    </row>
    <row r="16" spans="2:12" s="324" customFormat="1" ht="15">
      <c r="B16" s="333">
        <f>+B6</f>
        <v>40086</v>
      </c>
      <c r="C16" s="340">
        <f>+'3.Flujo efectivo financiero'!C18</f>
        <v>-187548536.17333275</v>
      </c>
      <c r="D16" s="331"/>
      <c r="E16" s="331"/>
      <c r="F16" s="341"/>
      <c r="G16" s="341"/>
      <c r="H16" s="323"/>
      <c r="I16" s="323"/>
      <c r="J16" s="323"/>
      <c r="K16" s="323"/>
      <c r="L16" s="323"/>
    </row>
    <row r="17" spans="2:12" s="324" customFormat="1" ht="15">
      <c r="B17" s="333">
        <f>+B7</f>
        <v>40451</v>
      </c>
      <c r="C17" s="340">
        <f>+'3.Flujo efectivo financiero'!D18</f>
        <v>228761114.99333298</v>
      </c>
      <c r="D17" s="334"/>
      <c r="E17" s="334"/>
      <c r="F17" s="341"/>
      <c r="G17" s="341"/>
      <c r="H17" s="323"/>
      <c r="I17" s="323"/>
      <c r="J17" s="323"/>
      <c r="K17" s="323"/>
      <c r="L17" s="323"/>
    </row>
    <row r="18" spans="2:12">
      <c r="B18" s="333">
        <f>+B8</f>
        <v>40816</v>
      </c>
      <c r="C18" s="340">
        <f>+'3.Flujo efectivo financiero'!E18</f>
        <v>360263612.05333394</v>
      </c>
      <c r="D18" s="331"/>
      <c r="E18" s="335"/>
      <c r="F18" s="335"/>
      <c r="G18" s="335"/>
      <c r="H18" s="316"/>
      <c r="I18" s="316"/>
      <c r="J18" s="316"/>
      <c r="K18" s="323"/>
      <c r="L18" s="316"/>
    </row>
    <row r="19" spans="2:12">
      <c r="B19" s="336"/>
      <c r="C19" s="342"/>
      <c r="D19" s="335"/>
      <c r="E19" s="335"/>
      <c r="F19" s="335"/>
      <c r="G19" s="335"/>
      <c r="H19" s="316"/>
      <c r="I19" s="316"/>
      <c r="J19" s="316"/>
      <c r="K19" s="323"/>
      <c r="L19" s="316"/>
    </row>
    <row r="20" spans="2:12" ht="15">
      <c r="B20" s="325" t="s">
        <v>264</v>
      </c>
      <c r="C20" s="359"/>
      <c r="D20" s="327"/>
      <c r="E20" s="327"/>
      <c r="F20" s="360"/>
    </row>
    <row r="21" spans="2:12" ht="15">
      <c r="B21" s="355"/>
      <c r="C21" s="356" t="str">
        <f>+'7.Dupont'!O54</f>
        <v>ROA</v>
      </c>
      <c r="D21" s="357"/>
      <c r="E21" s="358" t="str">
        <f>+'7.Dupont'!R54</f>
        <v>TI</v>
      </c>
      <c r="F21" s="356" t="s">
        <v>263</v>
      </c>
    </row>
    <row r="22" spans="2:12" ht="15">
      <c r="B22" s="343">
        <f>+C53</f>
        <v>39721</v>
      </c>
      <c r="C22" s="347">
        <f>+'7.Dupont'!Q54</f>
        <v>0.10180131165129913</v>
      </c>
      <c r="D22" s="351" t="str">
        <f>IF(C22&gt;E22,"&gt;","&lt;")</f>
        <v>&lt;</v>
      </c>
      <c r="E22" s="347">
        <f>+'7.Dupont'!T54</f>
        <v>0.17417508011415608</v>
      </c>
      <c r="F22" s="348" t="str">
        <f>IF(C22&gt;E22,"Deuda","Acciones")</f>
        <v>Acciones</v>
      </c>
    </row>
    <row r="23" spans="2:12" ht="15">
      <c r="B23" s="343">
        <f>+B16</f>
        <v>40086</v>
      </c>
      <c r="C23" s="345">
        <f>+'7.Dupont'!Q55</f>
        <v>0.10682199192016645</v>
      </c>
      <c r="D23" s="351" t="str">
        <f>IF(C23&gt;E23,"&gt;","&lt;")</f>
        <v>&lt;</v>
      </c>
      <c r="E23" s="345">
        <f>+'7.Dupont'!T55</f>
        <v>0.20136995302104907</v>
      </c>
      <c r="F23" s="348" t="str">
        <f>IF(C23&gt;E23,"Deuda","Acciones")</f>
        <v>Acciones</v>
      </c>
    </row>
    <row r="24" spans="2:12" ht="15">
      <c r="B24" s="343">
        <f>+B17</f>
        <v>40451</v>
      </c>
      <c r="C24" s="345">
        <f>+'7.Dupont'!Q56</f>
        <v>1.9775539003376204E-2</v>
      </c>
      <c r="D24" s="351" t="str">
        <f>IF(C24&gt;E24,"&gt;","&lt;")</f>
        <v>&lt;</v>
      </c>
      <c r="E24" s="345">
        <f>+'7.Dupont'!T56</f>
        <v>0.11087599100562362</v>
      </c>
      <c r="F24" s="348" t="str">
        <f>IF(C24&gt;E24,"Deuda","Acciones")</f>
        <v>Acciones</v>
      </c>
    </row>
    <row r="25" spans="2:12" ht="15">
      <c r="B25" s="344">
        <f>+B18</f>
        <v>40816</v>
      </c>
      <c r="C25" s="346">
        <f>+'7.Dupont'!Q57</f>
        <v>2.5812174773513934E-2</v>
      </c>
      <c r="D25" s="351" t="str">
        <f>IF(C25&gt;E25,"&gt;","&lt;")</f>
        <v>&lt;</v>
      </c>
      <c r="E25" s="346">
        <f>+'7.Dupont'!T57</f>
        <v>0.19718240844936186</v>
      </c>
      <c r="F25" s="348" t="str">
        <f>IF(C25&gt;E25,"Deuda","Acciones")</f>
        <v>Acciones</v>
      </c>
    </row>
    <row r="26" spans="2:12">
      <c r="B26" s="337"/>
    </row>
    <row r="27" spans="2:12" ht="15">
      <c r="B27" s="400" t="s">
        <v>214</v>
      </c>
    </row>
    <row r="40" spans="2:9" ht="15">
      <c r="B40" s="53" t="s">
        <v>214</v>
      </c>
      <c r="C40" s="444"/>
      <c r="D40" s="445"/>
      <c r="E40" s="445"/>
      <c r="F40" s="445"/>
      <c r="G40" s="445"/>
      <c r="H40" s="445"/>
      <c r="I40" s="445"/>
    </row>
    <row r="41" spans="2:9">
      <c r="B41" s="53" t="s">
        <v>337</v>
      </c>
      <c r="C41" s="53"/>
      <c r="D41" s="53"/>
      <c r="E41" s="53"/>
      <c r="F41" s="53"/>
      <c r="G41" s="432"/>
      <c r="H41" s="53"/>
      <c r="I41" s="54"/>
    </row>
    <row r="42" spans="2:9">
      <c r="B42" s="54" t="str">
        <f>IF(Resumen!$F42&gt;60%,"Alta",IF(AND(Resumen!$F42&lt;60%,Resumen!$F42&gt;30%),"Aceptable",IF(AND(Resumen!$F42&lt;30%,Resumen!$F42&gt;10%),"Baja","Muy baja")))</f>
        <v>Alta</v>
      </c>
      <c r="C42" s="84">
        <f>+'1.Estado Situación'!B7</f>
        <v>39721</v>
      </c>
      <c r="D42" s="139" t="str">
        <f>+'8.Solidez'!C23</f>
        <v>Total activos no corrientes</v>
      </c>
      <c r="E42" s="54" t="s">
        <v>200</v>
      </c>
      <c r="F42" s="215">
        <f>+'8.Solidez'!F19</f>
        <v>0.81625823425984578</v>
      </c>
      <c r="G42" s="431" t="s">
        <v>336</v>
      </c>
      <c r="H42" s="54"/>
      <c r="I42" s="54"/>
    </row>
    <row r="43" spans="2:9">
      <c r="B43" s="54" t="str">
        <f>IF(Resumen!$F43&gt;60%,"Alta",IF(AND(Resumen!$F43&lt;60%,Resumen!$F43&gt;30%),"Aceptable",IF(AND(Resumen!$F43&lt;30%,Resumen!$F43&gt;10%),"Baja","Muy baja")))</f>
        <v>Alta</v>
      </c>
      <c r="C43" s="84">
        <f t="shared" ref="C43:C45" si="0">+B23</f>
        <v>40086</v>
      </c>
      <c r="D43" s="139" t="str">
        <f>+'8.Solidez'!G23</f>
        <v>Total activos no corrientes</v>
      </c>
      <c r="E43" s="54" t="s">
        <v>200</v>
      </c>
      <c r="F43" s="215">
        <f>+'8.Solidez'!J19</f>
        <v>0.80576539194621577</v>
      </c>
      <c r="G43" s="431" t="s">
        <v>336</v>
      </c>
      <c r="H43" s="54"/>
      <c r="I43" s="54"/>
    </row>
    <row r="44" spans="2:9">
      <c r="B44" s="54" t="str">
        <f>IF(Resumen!$F44&gt;60%,"Alta",IF(AND(Resumen!$F44&lt;60%,Resumen!$F44&gt;30%),"Aceptable",IF(AND(Resumen!$F44&lt;30%,Resumen!$F44&gt;10%),"Baja","Muy baja")))</f>
        <v>Alta</v>
      </c>
      <c r="C44" s="84">
        <f t="shared" si="0"/>
        <v>40451</v>
      </c>
      <c r="D44" s="139" t="str">
        <f>+'8.Solidez'!K23</f>
        <v>Total activos no corrientes</v>
      </c>
      <c r="E44" s="54" t="s">
        <v>200</v>
      </c>
      <c r="F44" s="215">
        <f>+'8.Solidez'!N19</f>
        <v>0.88344535622777098</v>
      </c>
      <c r="G44" s="431" t="s">
        <v>336</v>
      </c>
      <c r="H44" s="54"/>
      <c r="I44" s="54"/>
    </row>
    <row r="45" spans="2:9">
      <c r="B45" s="54" t="str">
        <f>IF(Resumen!$F45&gt;60%,"Alta",IF(AND(Resumen!$F45&lt;60%,Resumen!$F45&gt;30%),"Aceptable",IF(AND(Resumen!$F45&lt;30%,Resumen!$F45&gt;10%),"Baja","Muy baja")))</f>
        <v>Alta</v>
      </c>
      <c r="C45" s="84">
        <f t="shared" si="0"/>
        <v>40816</v>
      </c>
      <c r="D45" s="139" t="str">
        <f>+'8.Solidez'!O23</f>
        <v>Total activos no corrientes</v>
      </c>
      <c r="E45" s="54" t="s">
        <v>200</v>
      </c>
      <c r="F45" s="215">
        <f>+'8.Solidez'!R19</f>
        <v>0.64465450975735283</v>
      </c>
      <c r="G45" s="431" t="s">
        <v>336</v>
      </c>
      <c r="H45" s="54"/>
      <c r="I45" s="54"/>
    </row>
    <row r="46" spans="2:9">
      <c r="B46" s="54"/>
      <c r="C46" s="94"/>
      <c r="D46" s="139"/>
      <c r="E46" s="54"/>
      <c r="F46" s="215"/>
      <c r="G46" s="431"/>
      <c r="H46" s="54"/>
      <c r="I46" s="54"/>
    </row>
    <row r="47" spans="2:9">
      <c r="B47" s="53" t="s">
        <v>338</v>
      </c>
      <c r="C47" s="53"/>
      <c r="D47" s="53"/>
      <c r="E47" s="53"/>
      <c r="F47" s="53"/>
      <c r="G47" s="432"/>
      <c r="H47" s="53"/>
      <c r="I47" s="54"/>
    </row>
    <row r="48" spans="2:9">
      <c r="B48" s="54" t="str">
        <f>IF(Resumen!$F48&gt;30%,"Alta",IF(AND(Resumen!$F48&lt;30%,Resumen!$F48&gt;10%),"Aceptable",IF(AND(Resumen!$F48&lt;30%,Resumen!$F48&gt;10%),"Baja","Muy baja")))</f>
        <v>Aceptable</v>
      </c>
      <c r="C48" s="84">
        <f>+C42</f>
        <v>39721</v>
      </c>
      <c r="D48" s="139" t="str">
        <f>+'8.Solidez'!G12</f>
        <v>Total activo corriente</v>
      </c>
      <c r="E48" s="54" t="s">
        <v>200</v>
      </c>
      <c r="F48" s="215">
        <f>+'8.Solidez'!F18</f>
        <v>0.18346860362279541</v>
      </c>
      <c r="G48" s="431" t="s">
        <v>201</v>
      </c>
      <c r="H48" s="54"/>
      <c r="I48" s="54"/>
    </row>
    <row r="49" spans="2:9">
      <c r="B49" s="54" t="str">
        <f>IF(Resumen!$F49&gt;30%,"Alta",IF(AND(Resumen!$F49&lt;30%,Resumen!$F49&gt;10%),"Aceptable",IF(AND(Resumen!$F49&lt;30%,Resumen!$F49&gt;10%),"Baja","Muy baja")))</f>
        <v>Aceptable</v>
      </c>
      <c r="C49" s="84">
        <f t="shared" ref="C49:C51" si="1">+C43</f>
        <v>40086</v>
      </c>
      <c r="D49" s="139" t="str">
        <f>+'8.Solidez'!C12</f>
        <v>Total activo corriente</v>
      </c>
      <c r="E49" s="54" t="s">
        <v>200</v>
      </c>
      <c r="F49" s="215">
        <f>+'8.Solidez'!J18</f>
        <v>0.18253738122220961</v>
      </c>
      <c r="G49" s="431" t="s">
        <v>201</v>
      </c>
      <c r="H49" s="54"/>
      <c r="I49" s="54"/>
    </row>
    <row r="50" spans="2:9">
      <c r="B50" s="54" t="str">
        <f>IF(Resumen!$F50&gt;30%,"Alta",IF(AND(Resumen!$F50&lt;30%,Resumen!$F50&gt;10%),"Aceptable",IF(AND(Resumen!$F50&lt;30%,Resumen!$F50&gt;10%),"Baja","Muy baja")))</f>
        <v>Aceptable</v>
      </c>
      <c r="C50" s="84">
        <f t="shared" si="1"/>
        <v>40451</v>
      </c>
      <c r="D50" s="139" t="str">
        <f>+'8.Solidez'!K12</f>
        <v>Total activo corriente</v>
      </c>
      <c r="E50" s="54" t="s">
        <v>200</v>
      </c>
      <c r="F50" s="215">
        <f>+'8.Solidez'!N18</f>
        <v>0.28201403476493564</v>
      </c>
      <c r="G50" s="431" t="s">
        <v>201</v>
      </c>
      <c r="H50" s="54"/>
      <c r="I50" s="54"/>
    </row>
    <row r="51" spans="2:9">
      <c r="B51" s="54" t="str">
        <f>IF(Resumen!$F51&gt;30%,"Alta",IF(AND(Resumen!$F51&lt;30%,Resumen!$F51&gt;10%),"Aceptable",IF(AND(Resumen!$F51&lt;30%,Resumen!$F51&gt;10%),"Baja","Muy baja")))</f>
        <v>Alta</v>
      </c>
      <c r="C51" s="84">
        <f t="shared" si="1"/>
        <v>40816</v>
      </c>
      <c r="D51" s="139" t="str">
        <f>+'8.Solidez'!O12</f>
        <v>Total activo corriente</v>
      </c>
      <c r="E51" s="54" t="s">
        <v>200</v>
      </c>
      <c r="F51" s="215">
        <f>+'8.Solidez'!R18</f>
        <v>0.34382011920284355</v>
      </c>
      <c r="G51" s="431" t="s">
        <v>201</v>
      </c>
      <c r="H51" s="54"/>
      <c r="I51" s="54"/>
    </row>
    <row r="53" spans="2:9">
      <c r="B53" s="316" t="s">
        <v>214</v>
      </c>
      <c r="C53" s="317">
        <f>+'8.Solidez'!D11</f>
        <v>39721</v>
      </c>
      <c r="D53" s="317">
        <f>+B11</f>
        <v>40086</v>
      </c>
      <c r="E53" s="317">
        <f>+B12</f>
        <v>40451</v>
      </c>
      <c r="F53" s="317">
        <f>+B13</f>
        <v>40816</v>
      </c>
    </row>
    <row r="54" spans="2:9">
      <c r="B54" s="318" t="s">
        <v>217</v>
      </c>
      <c r="C54" s="316" t="str">
        <f>+Resumen!B42</f>
        <v>Alta</v>
      </c>
      <c r="D54" s="316" t="str">
        <f>+Resumen!B43</f>
        <v>Alta</v>
      </c>
      <c r="E54" s="316" t="str">
        <f>+Resumen!B44</f>
        <v>Alta</v>
      </c>
      <c r="F54" s="316" t="str">
        <f>+Resumen!B45</f>
        <v>Alta</v>
      </c>
    </row>
    <row r="55" spans="2:9">
      <c r="B55" s="318" t="s">
        <v>218</v>
      </c>
      <c r="C55" s="316" t="str">
        <f>+Resumen!B49</f>
        <v>Aceptable</v>
      </c>
      <c r="D55" s="316" t="str">
        <f>+Resumen!B48</f>
        <v>Aceptable</v>
      </c>
      <c r="E55" s="316" t="str">
        <f>+Resumen!B50</f>
        <v>Aceptable</v>
      </c>
      <c r="F55" s="316" t="str">
        <f>+Resumen!B51</f>
        <v>Alta</v>
      </c>
    </row>
  </sheetData>
  <pageMargins left="0.7" right="0.7" top="0.75" bottom="0.75" header="0.3" footer="0.3"/>
  <drawing r:id="rId1"/>
  <tableParts count="6">
    <tablePart r:id="rId2"/>
    <tablePart r:id="rId3"/>
    <tablePart r:id="rId4"/>
    <tablePart r:id="rId5"/>
    <tablePart r:id="rId6"/>
    <tablePart r:id="rId7"/>
  </tableParts>
</worksheet>
</file>

<file path=xl/worksheets/sheet2.xml><?xml version="1.0" encoding="utf-8"?>
<worksheet xmlns="http://schemas.openxmlformats.org/spreadsheetml/2006/main" xmlns:r="http://schemas.openxmlformats.org/officeDocument/2006/relationships">
  <sheetPr>
    <tabColor theme="5" tint="0.39997558519241921"/>
  </sheetPr>
  <dimension ref="A1:K51"/>
  <sheetViews>
    <sheetView showGridLines="0" topLeftCell="A4" zoomScale="130" zoomScaleNormal="130" workbookViewId="0">
      <selection activeCell="B14" sqref="B14"/>
    </sheetView>
  </sheetViews>
  <sheetFormatPr defaultRowHeight="12.75"/>
  <cols>
    <col min="1" max="1" width="40" style="15" bestFit="1" customWidth="1"/>
    <col min="2" max="5" width="17.7109375" style="15" customWidth="1"/>
    <col min="6" max="6" width="26.28515625" style="17" customWidth="1"/>
    <col min="7" max="7" width="40" style="15" bestFit="1" customWidth="1"/>
    <col min="8" max="9" width="16.5703125" style="15" customWidth="1"/>
    <col min="10" max="11" width="16.5703125" style="15" bestFit="1" customWidth="1"/>
    <col min="12" max="16384" width="9.140625" style="15"/>
  </cols>
  <sheetData>
    <row r="1" spans="1:11" ht="15">
      <c r="A1" s="14" t="s">
        <v>190</v>
      </c>
    </row>
    <row r="2" spans="1:11" s="17" customFormat="1">
      <c r="A2" s="18" t="s">
        <v>115</v>
      </c>
      <c r="B2" s="18"/>
      <c r="C2" s="18"/>
      <c r="D2" s="18"/>
      <c r="E2" s="19"/>
      <c r="G2" s="18" t="s">
        <v>114</v>
      </c>
      <c r="H2" s="18"/>
      <c r="I2" s="18"/>
      <c r="J2" s="18"/>
      <c r="K2" s="19"/>
    </row>
    <row r="3" spans="1:11">
      <c r="A3" s="20" t="s">
        <v>193</v>
      </c>
      <c r="B3" s="20"/>
      <c r="C3" s="20"/>
      <c r="D3" s="20"/>
      <c r="E3" s="21"/>
      <c r="G3" s="20" t="str">
        <f>+'2.Estado Resultados'!G3</f>
        <v>Distribuidora Santa Bárbara de Pavas, S.A.</v>
      </c>
      <c r="H3" s="20"/>
      <c r="I3" s="20"/>
      <c r="J3" s="20"/>
      <c r="K3" s="21"/>
    </row>
    <row r="4" spans="1:11">
      <c r="A4" s="20" t="s">
        <v>112</v>
      </c>
      <c r="B4" s="20"/>
      <c r="C4" s="20"/>
      <c r="D4" s="20"/>
      <c r="E4" s="21"/>
      <c r="G4" s="20" t="s">
        <v>112</v>
      </c>
      <c r="H4" s="20"/>
      <c r="I4" s="20"/>
      <c r="J4" s="20"/>
      <c r="K4" s="21"/>
    </row>
    <row r="5" spans="1:11">
      <c r="A5" s="22" t="s">
        <v>16</v>
      </c>
      <c r="B5" s="22"/>
      <c r="C5" s="22"/>
      <c r="D5" s="22"/>
      <c r="E5" s="23"/>
      <c r="G5" s="22" t="s">
        <v>16</v>
      </c>
      <c r="H5" s="22"/>
      <c r="I5" s="22"/>
      <c r="J5" s="22"/>
      <c r="K5" s="23"/>
    </row>
    <row r="6" spans="1:11">
      <c r="G6" s="17"/>
      <c r="H6" s="17"/>
      <c r="I6" s="17"/>
      <c r="J6" s="17"/>
      <c r="K6" s="17"/>
    </row>
    <row r="7" spans="1:11">
      <c r="A7" s="235"/>
      <c r="B7" s="236">
        <v>39721</v>
      </c>
      <c r="C7" s="236">
        <v>40086</v>
      </c>
      <c r="D7" s="236">
        <v>40451</v>
      </c>
      <c r="E7" s="236">
        <v>40816</v>
      </c>
      <c r="G7" s="235"/>
      <c r="H7" s="236">
        <v>39721</v>
      </c>
      <c r="I7" s="236">
        <v>40086</v>
      </c>
      <c r="J7" s="236">
        <v>40451</v>
      </c>
      <c r="K7" s="236">
        <v>40816</v>
      </c>
    </row>
    <row r="8" spans="1:11">
      <c r="A8" s="237" t="s">
        <v>21</v>
      </c>
      <c r="B8" s="238"/>
      <c r="C8" s="238"/>
      <c r="D8" s="239"/>
      <c r="E8" s="238"/>
      <c r="G8" s="237" t="s">
        <v>21</v>
      </c>
      <c r="H8" s="238"/>
      <c r="I8" s="238"/>
      <c r="J8" s="239"/>
      <c r="K8" s="238"/>
    </row>
    <row r="9" spans="1:11">
      <c r="A9" s="240" t="s">
        <v>48</v>
      </c>
      <c r="B9" s="241">
        <f t="shared" ref="B9:E15" si="0">+H9/1.5</f>
        <v>385891272.51999998</v>
      </c>
      <c r="C9" s="241">
        <f t="shared" si="0"/>
        <v>149304921.47999999</v>
      </c>
      <c r="D9" s="241">
        <f t="shared" si="0"/>
        <v>115380231.62666667</v>
      </c>
      <c r="E9" s="241">
        <f t="shared" si="0"/>
        <v>101830859.86666667</v>
      </c>
      <c r="G9" s="240" t="s">
        <v>48</v>
      </c>
      <c r="H9" s="241">
        <f>10175100+568661808.78</f>
        <v>578836908.77999997</v>
      </c>
      <c r="I9" s="241">
        <f>11125100+212832282.22</f>
        <v>223957382.22</v>
      </c>
      <c r="J9" s="241">
        <f>10665100+162405247.44</f>
        <v>173070347.44</v>
      </c>
      <c r="K9" s="241">
        <f>11435000.5+141311289.3</f>
        <v>152746289.80000001</v>
      </c>
    </row>
    <row r="10" spans="1:11">
      <c r="A10" s="242" t="s">
        <v>46</v>
      </c>
      <c r="B10" s="238">
        <f t="shared" si="0"/>
        <v>903223.29333333333</v>
      </c>
      <c r="C10" s="238">
        <f t="shared" si="0"/>
        <v>3694852.5333333332</v>
      </c>
      <c r="D10" s="238">
        <f t="shared" si="0"/>
        <v>4020141.9333333336</v>
      </c>
      <c r="E10" s="238">
        <f t="shared" si="0"/>
        <v>21053786.413333334</v>
      </c>
      <c r="G10" s="242" t="s">
        <v>46</v>
      </c>
      <c r="H10" s="238">
        <v>1354834.94</v>
      </c>
      <c r="I10" s="238">
        <v>5542278.7999999998</v>
      </c>
      <c r="J10" s="238">
        <v>6030212.9000000004</v>
      </c>
      <c r="K10" s="238">
        <v>31580679.620000001</v>
      </c>
    </row>
    <row r="11" spans="1:11">
      <c r="A11" s="240" t="s">
        <v>243</v>
      </c>
      <c r="B11" s="241">
        <f t="shared" si="0"/>
        <v>1252786094.5933335</v>
      </c>
      <c r="C11" s="241">
        <f t="shared" ref="C11:E12" si="1">+I11/1.5</f>
        <v>1531339660.2266667</v>
      </c>
      <c r="D11" s="241">
        <f t="shared" si="1"/>
        <v>1618872422.8933334</v>
      </c>
      <c r="E11" s="241">
        <f t="shared" si="1"/>
        <v>747456943.57999992</v>
      </c>
      <c r="G11" s="240" t="s">
        <v>243</v>
      </c>
      <c r="H11" s="241">
        <f>1879179141.89</f>
        <v>1879179141.8900001</v>
      </c>
      <c r="I11" s="241">
        <f>2297009490.34</f>
        <v>2297009490.3400002</v>
      </c>
      <c r="J11" s="241">
        <f>2428308634.34</f>
        <v>2428308634.3400002</v>
      </c>
      <c r="K11" s="241">
        <f>1121185415.37</f>
        <v>1121185415.3699999</v>
      </c>
    </row>
    <row r="12" spans="1:11">
      <c r="A12" s="240" t="s">
        <v>242</v>
      </c>
      <c r="B12" s="241">
        <f>+H12/1.5</f>
        <v>286806686.93333334</v>
      </c>
      <c r="C12" s="241">
        <f t="shared" si="1"/>
        <v>294488850.02000004</v>
      </c>
      <c r="D12" s="241">
        <f t="shared" si="1"/>
        <v>275638466.06</v>
      </c>
      <c r="E12" s="241">
        <f t="shared" si="1"/>
        <v>225056597.3066667</v>
      </c>
      <c r="G12" s="240" t="s">
        <v>242</v>
      </c>
      <c r="H12" s="241">
        <f>15636706.24+414573324.16</f>
        <v>430210030.40000004</v>
      </c>
      <c r="I12" s="241">
        <f>9656478.67+432076796.36</f>
        <v>441733275.03000003</v>
      </c>
      <c r="J12" s="241">
        <f>394885453.16+18572245.93</f>
        <v>413457699.09000003</v>
      </c>
      <c r="K12" s="241">
        <f>12635781.85+324949114.11</f>
        <v>337584895.96000004</v>
      </c>
    </row>
    <row r="13" spans="1:11">
      <c r="A13" s="243" t="s">
        <v>17</v>
      </c>
      <c r="B13" s="238">
        <f t="shared" si="0"/>
        <v>1793636044.9399998</v>
      </c>
      <c r="C13" s="238">
        <f t="shared" si="0"/>
        <v>1223375514.4333334</v>
      </c>
      <c r="D13" s="238">
        <f t="shared" si="0"/>
        <v>1022353000.34</v>
      </c>
      <c r="E13" s="238">
        <f t="shared" si="0"/>
        <v>1103694669.8199999</v>
      </c>
      <c r="G13" s="243" t="s">
        <v>17</v>
      </c>
      <c r="H13" s="238">
        <v>2690454067.4099998</v>
      </c>
      <c r="I13" s="238">
        <v>1835063271.6500001</v>
      </c>
      <c r="J13" s="238">
        <v>1533529500.51</v>
      </c>
      <c r="K13" s="238">
        <v>1655542004.73</v>
      </c>
    </row>
    <row r="14" spans="1:11" ht="13.5" thickBot="1">
      <c r="A14" s="244" t="s">
        <v>18</v>
      </c>
      <c r="B14" s="245">
        <f t="shared" si="0"/>
        <v>17865641.526666667</v>
      </c>
      <c r="C14" s="245">
        <f t="shared" si="0"/>
        <v>27037152.099999998</v>
      </c>
      <c r="D14" s="245">
        <f t="shared" si="0"/>
        <v>28655074.986666664</v>
      </c>
      <c r="E14" s="245">
        <f t="shared" si="0"/>
        <v>22215407.233333334</v>
      </c>
      <c r="G14" s="244" t="s">
        <v>18</v>
      </c>
      <c r="H14" s="245">
        <v>26798462.289999999</v>
      </c>
      <c r="I14" s="245">
        <v>40555728.149999999</v>
      </c>
      <c r="J14" s="245">
        <v>42982612.479999997</v>
      </c>
      <c r="K14" s="245">
        <v>33323110.850000001</v>
      </c>
    </row>
    <row r="15" spans="1:11" ht="13.5" thickTop="1">
      <c r="A15" s="246" t="s">
        <v>24</v>
      </c>
      <c r="B15" s="247">
        <f t="shared" si="0"/>
        <v>3737888963.8066669</v>
      </c>
      <c r="C15" s="247">
        <f t="shared" si="0"/>
        <v>3229240950.7933335</v>
      </c>
      <c r="D15" s="247">
        <f t="shared" si="0"/>
        <v>3064919337.8400002</v>
      </c>
      <c r="E15" s="247">
        <f t="shared" si="0"/>
        <v>2221308264.2199998</v>
      </c>
      <c r="G15" s="246" t="s">
        <v>24</v>
      </c>
      <c r="H15" s="247">
        <f>SUM(H9:H14)</f>
        <v>5606833445.71</v>
      </c>
      <c r="I15" s="247">
        <f>SUM(I9:I14)</f>
        <v>4843861426.1900005</v>
      </c>
      <c r="J15" s="247">
        <f>SUM(J9:J14)</f>
        <v>4597379006.7600002</v>
      </c>
      <c r="K15" s="247">
        <f>SUM(K9:K14)</f>
        <v>3331962396.3299999</v>
      </c>
    </row>
    <row r="16" spans="1:11">
      <c r="A16" s="248"/>
      <c r="B16" s="241"/>
      <c r="C16" s="241"/>
      <c r="D16" s="241"/>
      <c r="E16" s="241"/>
      <c r="G16" s="248"/>
      <c r="H16" s="241"/>
      <c r="I16" s="241"/>
      <c r="J16" s="241"/>
      <c r="K16" s="241"/>
    </row>
    <row r="17" spans="1:11">
      <c r="A17" s="246" t="s">
        <v>20</v>
      </c>
      <c r="B17" s="238"/>
      <c r="C17" s="238"/>
      <c r="D17" s="238"/>
      <c r="E17" s="238"/>
      <c r="G17" s="246" t="s">
        <v>20</v>
      </c>
      <c r="H17" s="238"/>
      <c r="I17" s="238"/>
      <c r="J17" s="238"/>
      <c r="K17" s="238"/>
    </row>
    <row r="18" spans="1:11">
      <c r="A18" s="248" t="s">
        <v>19</v>
      </c>
      <c r="B18" s="241">
        <f t="shared" ref="B18:E21" si="2">+H18/1.5</f>
        <v>2213537589.9533334</v>
      </c>
      <c r="C18" s="241">
        <f t="shared" si="2"/>
        <v>2219500630.3933334</v>
      </c>
      <c r="D18" s="241">
        <f t="shared" si="2"/>
        <v>2186838729.4200001</v>
      </c>
      <c r="E18" s="241">
        <f t="shared" si="2"/>
        <v>2213567028.2733331</v>
      </c>
      <c r="G18" s="248" t="s">
        <v>19</v>
      </c>
      <c r="H18" s="241">
        <v>3320306384.9299998</v>
      </c>
      <c r="I18" s="241">
        <v>3329250945.5900002</v>
      </c>
      <c r="J18" s="241">
        <v>3280258094.1300001</v>
      </c>
      <c r="K18" s="241">
        <v>3320350542.4099998</v>
      </c>
    </row>
    <row r="19" spans="1:11">
      <c r="A19" s="249" t="s">
        <v>30</v>
      </c>
      <c r="B19" s="250">
        <f t="shared" si="2"/>
        <v>260548568.38666669</v>
      </c>
      <c r="C19" s="250">
        <f t="shared" si="2"/>
        <v>388333600.29333335</v>
      </c>
      <c r="D19" s="250">
        <f t="shared" si="2"/>
        <v>204647747.12666667</v>
      </c>
      <c r="E19" s="250">
        <f t="shared" si="2"/>
        <v>1017708255.7400001</v>
      </c>
      <c r="F19" s="25"/>
      <c r="G19" s="249" t="s">
        <v>30</v>
      </c>
      <c r="H19" s="250">
        <f>349200025.61+41622826.97</f>
        <v>390822852.58000004</v>
      </c>
      <c r="I19" s="250">
        <f>528542249.91+53958150.53</f>
        <v>582500400.44000006</v>
      </c>
      <c r="J19" s="250">
        <f>281148771.49+25822849.2</f>
        <v>306971620.69</v>
      </c>
      <c r="K19" s="250">
        <f>279914832.49+1213538960.89+33108590.23</f>
        <v>1526562383.6100001</v>
      </c>
    </row>
    <row r="20" spans="1:11" ht="13.5" thickBot="1">
      <c r="A20" s="251" t="s">
        <v>23</v>
      </c>
      <c r="B20" s="252">
        <f t="shared" si="2"/>
        <v>2474086158.3399997</v>
      </c>
      <c r="C20" s="252">
        <f t="shared" si="2"/>
        <v>2607834230.686667</v>
      </c>
      <c r="D20" s="252">
        <f t="shared" si="2"/>
        <v>2391486476.5466666</v>
      </c>
      <c r="E20" s="252">
        <f t="shared" si="2"/>
        <v>3231275284.0133338</v>
      </c>
      <c r="G20" s="251" t="s">
        <v>23</v>
      </c>
      <c r="H20" s="252">
        <f>SUM(H18:H19)</f>
        <v>3711129237.5099998</v>
      </c>
      <c r="I20" s="252">
        <f>SUM(I18:I19)</f>
        <v>3911751346.0300002</v>
      </c>
      <c r="J20" s="252">
        <f>SUM(J18:J19)</f>
        <v>3587229714.8200002</v>
      </c>
      <c r="K20" s="252">
        <f>SUM(K18:K19)</f>
        <v>4846912926.0200005</v>
      </c>
    </row>
    <row r="21" spans="1:11" ht="13.5" thickTop="1">
      <c r="A21" s="246" t="s">
        <v>22</v>
      </c>
      <c r="B21" s="247">
        <f t="shared" si="2"/>
        <v>6211975122.1466665</v>
      </c>
      <c r="C21" s="247">
        <f t="shared" si="2"/>
        <v>5837075181.4800005</v>
      </c>
      <c r="D21" s="247">
        <f t="shared" si="2"/>
        <v>5456405814.3866663</v>
      </c>
      <c r="E21" s="247">
        <f t="shared" si="2"/>
        <v>5452583548.2333336</v>
      </c>
      <c r="G21" s="246" t="s">
        <v>22</v>
      </c>
      <c r="H21" s="247">
        <f>+H15+H20</f>
        <v>9317962683.2199993</v>
      </c>
      <c r="I21" s="247">
        <f>+I15+I20</f>
        <v>8755612772.2200012</v>
      </c>
      <c r="J21" s="247">
        <f>+J15+J20</f>
        <v>8184608721.5799999</v>
      </c>
      <c r="K21" s="247">
        <f>+K15+K20</f>
        <v>8178875322.3500004</v>
      </c>
    </row>
    <row r="22" spans="1:11">
      <c r="A22" s="248"/>
      <c r="B22" s="241"/>
      <c r="C22" s="241"/>
      <c r="D22" s="241"/>
      <c r="E22" s="241"/>
      <c r="G22" s="248"/>
      <c r="H22" s="241"/>
      <c r="I22" s="241"/>
      <c r="J22" s="241"/>
      <c r="K22" s="241"/>
    </row>
    <row r="23" spans="1:11">
      <c r="A23" s="243" t="s">
        <v>25</v>
      </c>
      <c r="B23" s="238">
        <f t="shared" ref="B23:B31" si="3">+H23/1.5</f>
        <v>2102845788.54</v>
      </c>
      <c r="C23" s="238">
        <f t="shared" ref="C23:C31" si="4">+I23/1.5</f>
        <v>1794018901.5266666</v>
      </c>
      <c r="D23" s="238">
        <f t="shared" ref="D23:D31" si="5">+J23/1.5</f>
        <v>1518609648.5666666</v>
      </c>
      <c r="E23" s="238">
        <f t="shared" ref="E23:E31" si="6">+K23/1.5</f>
        <v>1846115543.3933334</v>
      </c>
      <c r="G23" s="243" t="s">
        <v>25</v>
      </c>
      <c r="H23" s="238">
        <f>3154268682.81</f>
        <v>3154268682.8099999</v>
      </c>
      <c r="I23" s="238">
        <f>2691028352.29</f>
        <v>2691028352.29</v>
      </c>
      <c r="J23" s="238">
        <f>2277914472.85</f>
        <v>2277914472.8499999</v>
      </c>
      <c r="K23" s="238">
        <f>2769173315.09</f>
        <v>2769173315.0900002</v>
      </c>
    </row>
    <row r="24" spans="1:11">
      <c r="A24" s="248" t="s">
        <v>26</v>
      </c>
      <c r="B24" s="241">
        <f t="shared" si="3"/>
        <v>58834409.82</v>
      </c>
      <c r="C24" s="241">
        <f t="shared" si="4"/>
        <v>46714232.100000001</v>
      </c>
      <c r="D24" s="241">
        <f t="shared" si="5"/>
        <v>48688929.620000005</v>
      </c>
      <c r="E24" s="241">
        <f t="shared" si="6"/>
        <v>28745245.713333335</v>
      </c>
      <c r="G24" s="248" t="s">
        <v>26</v>
      </c>
      <c r="H24" s="241">
        <v>88251614.730000004</v>
      </c>
      <c r="I24" s="241">
        <v>70071348.150000006</v>
      </c>
      <c r="J24" s="241">
        <v>73033394.430000007</v>
      </c>
      <c r="K24" s="241">
        <v>43117868.57</v>
      </c>
    </row>
    <row r="25" spans="1:11">
      <c r="A25" s="243" t="s">
        <v>28</v>
      </c>
      <c r="B25" s="238">
        <f t="shared" si="3"/>
        <v>12411795.159999998</v>
      </c>
      <c r="C25" s="238">
        <f t="shared" si="4"/>
        <v>10811230.393333333</v>
      </c>
      <c r="D25" s="238">
        <f t="shared" si="5"/>
        <v>13211948.406666666</v>
      </c>
      <c r="E25" s="238">
        <f t="shared" si="6"/>
        <v>25359242.34</v>
      </c>
      <c r="G25" s="243" t="s">
        <v>28</v>
      </c>
      <c r="H25" s="238">
        <v>18617692.739999998</v>
      </c>
      <c r="I25" s="238">
        <v>16216845.59</v>
      </c>
      <c r="J25" s="238">
        <v>19817922.609999999</v>
      </c>
      <c r="K25" s="238">
        <v>38038863.509999998</v>
      </c>
    </row>
    <row r="26" spans="1:11">
      <c r="A26" s="248" t="s">
        <v>29</v>
      </c>
      <c r="B26" s="241">
        <f t="shared" si="3"/>
        <v>22519200.986666664</v>
      </c>
      <c r="C26" s="241">
        <f t="shared" si="4"/>
        <v>19564510.300000001</v>
      </c>
      <c r="D26" s="241">
        <f t="shared" si="5"/>
        <v>21238291.140000001</v>
      </c>
      <c r="E26" s="241">
        <f t="shared" si="6"/>
        <v>21719457.153333332</v>
      </c>
      <c r="G26" s="248" t="s">
        <v>29</v>
      </c>
      <c r="H26" s="241">
        <v>33778801.479999997</v>
      </c>
      <c r="I26" s="241">
        <v>29346765.449999999</v>
      </c>
      <c r="J26" s="241">
        <v>31857436.710000001</v>
      </c>
      <c r="K26" s="241">
        <v>32579185.73</v>
      </c>
    </row>
    <row r="27" spans="1:11">
      <c r="A27" s="243" t="s">
        <v>238</v>
      </c>
      <c r="B27" s="238">
        <f t="shared" si="3"/>
        <v>70055319.700000003</v>
      </c>
      <c r="C27" s="238">
        <f t="shared" si="4"/>
        <v>9808092.9133333322</v>
      </c>
      <c r="D27" s="238">
        <f t="shared" si="5"/>
        <v>151696503.13333333</v>
      </c>
      <c r="E27" s="238">
        <f t="shared" si="6"/>
        <v>57496381.733333327</v>
      </c>
      <c r="G27" s="243" t="s">
        <v>238</v>
      </c>
      <c r="H27" s="238">
        <f>13584071.55+91498908</f>
        <v>105082979.55</v>
      </c>
      <c r="I27" s="238">
        <f>-27920553.43+42632692.8</f>
        <v>14712139.369999997</v>
      </c>
      <c r="J27" s="238">
        <f>-17617406+245162160.7</f>
        <v>227544754.69999999</v>
      </c>
      <c r="K27" s="238">
        <f>5596410+80648162.6</f>
        <v>86244572.599999994</v>
      </c>
    </row>
    <row r="28" spans="1:11">
      <c r="A28" s="248" t="s">
        <v>32</v>
      </c>
      <c r="B28" s="241">
        <f t="shared" si="3"/>
        <v>69011109.239999995</v>
      </c>
      <c r="C28" s="241">
        <f t="shared" si="4"/>
        <v>70052906.833333328</v>
      </c>
      <c r="D28" s="241">
        <f t="shared" si="5"/>
        <v>63574418.259999998</v>
      </c>
      <c r="E28" s="241">
        <f t="shared" si="6"/>
        <v>59637301.600000001</v>
      </c>
      <c r="G28" s="248" t="s">
        <v>32</v>
      </c>
      <c r="H28" s="241">
        <v>103516663.86</v>
      </c>
      <c r="I28" s="241">
        <v>105079360.25</v>
      </c>
      <c r="J28" s="241">
        <v>95361627.390000001</v>
      </c>
      <c r="K28" s="241">
        <v>89455952.400000006</v>
      </c>
    </row>
    <row r="29" spans="1:11">
      <c r="A29" s="249" t="s">
        <v>34</v>
      </c>
      <c r="B29" s="250">
        <f t="shared" si="3"/>
        <v>125023120.87333333</v>
      </c>
      <c r="C29" s="250">
        <f t="shared" si="4"/>
        <v>99267743.206666663</v>
      </c>
      <c r="D29" s="250">
        <f t="shared" si="5"/>
        <v>103463975.33333333</v>
      </c>
      <c r="E29" s="250">
        <f t="shared" si="6"/>
        <v>122545521.2</v>
      </c>
      <c r="G29" s="249" t="s">
        <v>34</v>
      </c>
      <c r="H29" s="250">
        <v>187534681.31</v>
      </c>
      <c r="I29" s="250">
        <v>148901614.81</v>
      </c>
      <c r="J29" s="250">
        <v>155195963</v>
      </c>
      <c r="K29" s="250">
        <v>183818281.80000001</v>
      </c>
    </row>
    <row r="30" spans="1:11" ht="13.5" thickBot="1">
      <c r="A30" s="251" t="s">
        <v>42</v>
      </c>
      <c r="B30" s="252">
        <f t="shared" si="3"/>
        <v>2460700744.3200002</v>
      </c>
      <c r="C30" s="252">
        <f t="shared" si="4"/>
        <v>2050237617.2733333</v>
      </c>
      <c r="D30" s="252">
        <f t="shared" si="5"/>
        <v>1920483714.4599998</v>
      </c>
      <c r="E30" s="252">
        <f t="shared" si="6"/>
        <v>2161618693.1333337</v>
      </c>
      <c r="G30" s="251" t="s">
        <v>42</v>
      </c>
      <c r="H30" s="252">
        <f>SUM(H23:H29)</f>
        <v>3691051116.48</v>
      </c>
      <c r="I30" s="252">
        <f>SUM(I23:I29)</f>
        <v>3075356425.9099998</v>
      </c>
      <c r="J30" s="252">
        <f>SUM(J23:J29)</f>
        <v>2880725571.6899996</v>
      </c>
      <c r="K30" s="252">
        <f>SUM(K23:K29)</f>
        <v>3242428039.7000008</v>
      </c>
    </row>
    <row r="31" spans="1:11" ht="13.5" hidden="1" thickTop="1">
      <c r="A31" s="246" t="s">
        <v>35</v>
      </c>
      <c r="B31" s="247">
        <f t="shared" si="3"/>
        <v>3751274377.8266664</v>
      </c>
      <c r="C31" s="247">
        <f t="shared" si="4"/>
        <v>3786837564.2066674</v>
      </c>
      <c r="D31" s="247">
        <f t="shared" si="5"/>
        <v>3535922099.9266667</v>
      </c>
      <c r="E31" s="247">
        <f t="shared" si="6"/>
        <v>3290964855.0999999</v>
      </c>
      <c r="G31" s="246" t="s">
        <v>35</v>
      </c>
      <c r="H31" s="247">
        <f>+H21-H30</f>
        <v>5626911566.7399998</v>
      </c>
      <c r="I31" s="247">
        <f>+I21-I30</f>
        <v>5680256346.3100014</v>
      </c>
      <c r="J31" s="247">
        <f>+J21-J30</f>
        <v>5303883149.8900003</v>
      </c>
      <c r="K31" s="247">
        <f>+K21-K30</f>
        <v>4936447282.6499996</v>
      </c>
    </row>
    <row r="32" spans="1:11" ht="13.5" thickTop="1">
      <c r="A32" s="248"/>
      <c r="B32" s="241"/>
      <c r="C32" s="241"/>
      <c r="D32" s="241"/>
      <c r="E32" s="241"/>
      <c r="G32" s="248"/>
      <c r="H32" s="241"/>
      <c r="I32" s="241"/>
      <c r="J32" s="241"/>
      <c r="K32" s="241"/>
    </row>
    <row r="33" spans="1:11">
      <c r="A33" s="243" t="s">
        <v>27</v>
      </c>
      <c r="B33" s="238">
        <f t="shared" ref="B33:E37" si="7">+H33/1.5</f>
        <v>1171019031</v>
      </c>
      <c r="C33" s="238">
        <f t="shared" si="7"/>
        <v>1195345549.8999999</v>
      </c>
      <c r="D33" s="238">
        <f t="shared" si="7"/>
        <v>662288184.38</v>
      </c>
      <c r="E33" s="238">
        <f t="shared" si="7"/>
        <v>219476738.86666667</v>
      </c>
      <c r="G33" s="243" t="s">
        <v>27</v>
      </c>
      <c r="H33" s="238">
        <v>1756528546.5</v>
      </c>
      <c r="I33" s="238">
        <v>1793018324.8499999</v>
      </c>
      <c r="J33" s="238">
        <v>993432276.57000005</v>
      </c>
      <c r="K33" s="238">
        <v>329215108.30000001</v>
      </c>
    </row>
    <row r="34" spans="1:11">
      <c r="A34" s="248" t="s">
        <v>33</v>
      </c>
      <c r="B34" s="241">
        <f t="shared" si="7"/>
        <v>560762147.81333339</v>
      </c>
      <c r="C34" s="241">
        <f t="shared" si="7"/>
        <v>490189443.28666663</v>
      </c>
      <c r="D34" s="241">
        <f t="shared" si="7"/>
        <v>760886293.36000001</v>
      </c>
      <c r="E34" s="241">
        <f t="shared" si="7"/>
        <v>909760133.19999993</v>
      </c>
      <c r="G34" s="248" t="s">
        <v>33</v>
      </c>
      <c r="H34" s="241">
        <v>841143221.72000003</v>
      </c>
      <c r="I34" s="241">
        <v>735284164.92999995</v>
      </c>
      <c r="J34" s="241">
        <v>1141329440.04</v>
      </c>
      <c r="K34" s="241">
        <v>1364640199.8</v>
      </c>
    </row>
    <row r="35" spans="1:11">
      <c r="A35" s="249" t="s">
        <v>31</v>
      </c>
      <c r="B35" s="250">
        <f t="shared" si="7"/>
        <v>0</v>
      </c>
      <c r="C35" s="250">
        <f t="shared" si="7"/>
        <v>0</v>
      </c>
      <c r="D35" s="250">
        <f t="shared" si="7"/>
        <v>0</v>
      </c>
      <c r="E35" s="250">
        <f t="shared" si="7"/>
        <v>78671798.926666662</v>
      </c>
      <c r="G35" s="249" t="s">
        <v>31</v>
      </c>
      <c r="H35" s="250">
        <v>0</v>
      </c>
      <c r="I35" s="250">
        <v>0</v>
      </c>
      <c r="J35" s="250">
        <v>0</v>
      </c>
      <c r="K35" s="250">
        <v>118007698.39</v>
      </c>
    </row>
    <row r="36" spans="1:11" ht="13.5" thickBot="1">
      <c r="A36" s="251" t="s">
        <v>36</v>
      </c>
      <c r="B36" s="252">
        <f t="shared" si="7"/>
        <v>1731781178.8133335</v>
      </c>
      <c r="C36" s="252">
        <f t="shared" si="7"/>
        <v>1685534993.1866665</v>
      </c>
      <c r="D36" s="252">
        <f t="shared" si="7"/>
        <v>1423174477.74</v>
      </c>
      <c r="E36" s="252">
        <f t="shared" si="7"/>
        <v>1207908670.9933333</v>
      </c>
      <c r="G36" s="251" t="s">
        <v>36</v>
      </c>
      <c r="H36" s="252">
        <f>SUM(H33:H34)</f>
        <v>2597671768.2200003</v>
      </c>
      <c r="I36" s="252">
        <f>SUM(I33:I34)</f>
        <v>2528302489.7799997</v>
      </c>
      <c r="J36" s="252">
        <f>SUM(J33:J35)</f>
        <v>2134761716.6100001</v>
      </c>
      <c r="K36" s="252">
        <f>SUM(K33:K35)</f>
        <v>1811863006.49</v>
      </c>
    </row>
    <row r="37" spans="1:11" ht="13.5" thickTop="1">
      <c r="A37" s="246" t="s">
        <v>44</v>
      </c>
      <c r="B37" s="247">
        <f t="shared" si="7"/>
        <v>4192481923.1333337</v>
      </c>
      <c r="C37" s="247">
        <f t="shared" si="7"/>
        <v>3735772610.4599996</v>
      </c>
      <c r="D37" s="247">
        <f t="shared" si="7"/>
        <v>3343658192.1999993</v>
      </c>
      <c r="E37" s="247">
        <f t="shared" si="7"/>
        <v>3369527364.126667</v>
      </c>
      <c r="G37" s="246" t="s">
        <v>44</v>
      </c>
      <c r="H37" s="247">
        <f>+H36+H30</f>
        <v>6288722884.7000008</v>
      </c>
      <c r="I37" s="247">
        <f>+I36+I30</f>
        <v>5603658915.6899996</v>
      </c>
      <c r="J37" s="247">
        <f>+J36+J30</f>
        <v>5015487288.2999992</v>
      </c>
      <c r="K37" s="247">
        <f>+K36+K30</f>
        <v>5054291046.1900005</v>
      </c>
    </row>
    <row r="38" spans="1:11">
      <c r="A38" s="253"/>
      <c r="B38" s="241"/>
      <c r="C38" s="241"/>
      <c r="D38" s="241"/>
      <c r="E38" s="241"/>
      <c r="G38" s="253"/>
      <c r="H38" s="241"/>
      <c r="I38" s="241"/>
      <c r="J38" s="241"/>
      <c r="K38" s="241"/>
    </row>
    <row r="39" spans="1:11">
      <c r="A39" s="246" t="s">
        <v>37</v>
      </c>
      <c r="B39" s="238"/>
      <c r="C39" s="238"/>
      <c r="D39" s="238"/>
      <c r="E39" s="238"/>
      <c r="G39" s="246" t="s">
        <v>37</v>
      </c>
      <c r="H39" s="238"/>
      <c r="I39" s="238"/>
      <c r="J39" s="238"/>
      <c r="K39" s="238"/>
    </row>
    <row r="40" spans="1:11">
      <c r="A40" s="248" t="s">
        <v>38</v>
      </c>
      <c r="B40" s="241">
        <f t="shared" ref="B40:E45" si="8">+H40/1.5</f>
        <v>1182866666.6666667</v>
      </c>
      <c r="C40" s="241">
        <f t="shared" si="8"/>
        <v>1182866666.6666667</v>
      </c>
      <c r="D40" s="241">
        <f t="shared" si="8"/>
        <v>1182866666.6666667</v>
      </c>
      <c r="E40" s="241">
        <f t="shared" si="8"/>
        <v>1182866666.6666667</v>
      </c>
      <c r="G40" s="248" t="s">
        <v>38</v>
      </c>
      <c r="H40" s="241">
        <v>1774300000</v>
      </c>
      <c r="I40" s="241">
        <v>1774300000</v>
      </c>
      <c r="J40" s="241">
        <v>1774300000</v>
      </c>
      <c r="K40" s="241">
        <v>1774300000</v>
      </c>
    </row>
    <row r="41" spans="1:11">
      <c r="A41" s="243" t="s">
        <v>39</v>
      </c>
      <c r="B41" s="238">
        <f t="shared" si="8"/>
        <v>10645789.033333333</v>
      </c>
      <c r="C41" s="238">
        <f t="shared" si="8"/>
        <v>19185853.593333334</v>
      </c>
      <c r="D41" s="238">
        <f t="shared" si="8"/>
        <v>21016297.653333332</v>
      </c>
      <c r="E41" s="238">
        <f t="shared" si="8"/>
        <v>26800753.926666666</v>
      </c>
      <c r="G41" s="243" t="s">
        <v>39</v>
      </c>
      <c r="H41" s="238">
        <v>15968683.550000001</v>
      </c>
      <c r="I41" s="238">
        <v>28778780.390000001</v>
      </c>
      <c r="J41" s="238">
        <v>31524446.48</v>
      </c>
      <c r="K41" s="238">
        <v>40201130.890000001</v>
      </c>
    </row>
    <row r="42" spans="1:11">
      <c r="A42" s="248" t="s">
        <v>40</v>
      </c>
      <c r="B42" s="241">
        <f t="shared" si="8"/>
        <v>730555206.85333335</v>
      </c>
      <c r="C42" s="241">
        <f t="shared" si="8"/>
        <v>730555206.85333335</v>
      </c>
      <c r="D42" s="241">
        <f t="shared" si="8"/>
        <v>730555206.85333335</v>
      </c>
      <c r="E42" s="241">
        <f t="shared" si="8"/>
        <v>730555206.85333335</v>
      </c>
      <c r="G42" s="248" t="s">
        <v>40</v>
      </c>
      <c r="H42" s="241">
        <v>1095832810.28</v>
      </c>
      <c r="I42" s="241">
        <v>1095832810.28</v>
      </c>
      <c r="J42" s="241">
        <v>1095832810.28</v>
      </c>
      <c r="K42" s="241">
        <v>1095832810.28</v>
      </c>
    </row>
    <row r="43" spans="1:11">
      <c r="A43" s="249" t="s">
        <v>239</v>
      </c>
      <c r="B43" s="250">
        <f t="shared" si="8"/>
        <v>95425536.459999993</v>
      </c>
      <c r="C43" s="250">
        <f t="shared" si="8"/>
        <v>168694843.90666667</v>
      </c>
      <c r="D43" s="250">
        <f>+J43/1.5</f>
        <v>178309451.01333332</v>
      </c>
      <c r="E43" s="250">
        <f t="shared" si="8"/>
        <v>142833556.66</v>
      </c>
      <c r="G43" s="249" t="s">
        <v>239</v>
      </c>
      <c r="H43" s="250">
        <v>143138304.69</v>
      </c>
      <c r="I43" s="250">
        <f>+H43+109903961.17</f>
        <v>253042265.86000001</v>
      </c>
      <c r="J43" s="250">
        <f>253042265.85+14421910.67</f>
        <v>267464176.51999998</v>
      </c>
      <c r="K43" s="250">
        <f>55193877.63+159056457.36</f>
        <v>214250334.99000001</v>
      </c>
    </row>
    <row r="44" spans="1:11" ht="13.5" thickBot="1">
      <c r="A44" s="251" t="s">
        <v>41</v>
      </c>
      <c r="B44" s="252">
        <f t="shared" si="8"/>
        <v>2019493199.0133333</v>
      </c>
      <c r="C44" s="252">
        <f t="shared" si="8"/>
        <v>2101302571.0200002</v>
      </c>
      <c r="D44" s="252">
        <f t="shared" si="8"/>
        <v>2112747622.1866667</v>
      </c>
      <c r="E44" s="252">
        <f t="shared" si="8"/>
        <v>2083056184.1066666</v>
      </c>
      <c r="G44" s="251" t="s">
        <v>41</v>
      </c>
      <c r="H44" s="252">
        <f>SUM(H40:H43)</f>
        <v>3029239798.52</v>
      </c>
      <c r="I44" s="252">
        <f>SUM(I40:I43)</f>
        <v>3151953856.5300002</v>
      </c>
      <c r="J44" s="252">
        <f>SUM(J40:J43)</f>
        <v>3169121433.2800002</v>
      </c>
      <c r="K44" s="252">
        <f>SUM(K40:K43)</f>
        <v>3124584276.1599998</v>
      </c>
    </row>
    <row r="45" spans="1:11" ht="13.5" thickTop="1">
      <c r="A45" s="246" t="s">
        <v>43</v>
      </c>
      <c r="B45" s="247">
        <f t="shared" si="8"/>
        <v>3751274377.8266664</v>
      </c>
      <c r="C45" s="247">
        <f t="shared" si="8"/>
        <v>3786837564.2066665</v>
      </c>
      <c r="D45" s="247">
        <f t="shared" si="8"/>
        <v>3535922099.9266667</v>
      </c>
      <c r="E45" s="247">
        <f t="shared" si="8"/>
        <v>3290964855.0999999</v>
      </c>
      <c r="G45" s="246" t="s">
        <v>43</v>
      </c>
      <c r="H45" s="247">
        <f>+H44+H36</f>
        <v>5626911566.7399998</v>
      </c>
      <c r="I45" s="247">
        <f>+I44+I36</f>
        <v>5680256346.3099995</v>
      </c>
      <c r="J45" s="247">
        <f>+J44+J36</f>
        <v>5303883149.8900003</v>
      </c>
      <c r="K45" s="247">
        <f>+K44+K36</f>
        <v>4936447282.6499996</v>
      </c>
    </row>
    <row r="46" spans="1:11">
      <c r="A46" s="248"/>
      <c r="B46" s="241">
        <f>+B45-B31</f>
        <v>0</v>
      </c>
      <c r="C46" s="241">
        <f>+C45-C31</f>
        <v>0</v>
      </c>
      <c r="D46" s="241">
        <f>+D45-D31</f>
        <v>0</v>
      </c>
      <c r="E46" s="241">
        <f>+E45-E31</f>
        <v>0</v>
      </c>
      <c r="G46" s="248"/>
      <c r="H46" s="241">
        <f>+H45-H31</f>
        <v>0</v>
      </c>
      <c r="I46" s="241">
        <f>+I45-I31</f>
        <v>0</v>
      </c>
      <c r="J46" s="241">
        <f>+J45-J31</f>
        <v>0</v>
      </c>
      <c r="K46" s="241">
        <f>+K45-K31</f>
        <v>0</v>
      </c>
    </row>
    <row r="47" spans="1:11" s="17" customFormat="1"/>
    <row r="48" spans="1:11" s="17" customFormat="1">
      <c r="J48" s="32">
        <f>55193877.63-J43</f>
        <v>-212270298.88999999</v>
      </c>
    </row>
    <row r="49" spans="1:11">
      <c r="E49" s="32">
        <f>+J48/1.5</f>
        <v>-141513532.59333333</v>
      </c>
      <c r="K49" s="31"/>
    </row>
    <row r="51" spans="1:11">
      <c r="A51" s="15" t="s">
        <v>120</v>
      </c>
      <c r="B51" s="15">
        <v>1.5</v>
      </c>
    </row>
  </sheetData>
  <hyperlinks>
    <hyperlink ref="A1" location="Indice!A1" display="Volver a la página del Indice"/>
  </hyperlinks>
  <pageMargins left="0.7" right="0.7" top="0.75" bottom="0.75" header="0.3" footer="0.3"/>
  <ignoredErrors>
    <ignoredError sqref="B46:E46 B7:E9" calculatedColumn="1"/>
    <ignoredError sqref="H36:I36" formulaRange="1"/>
  </ignoredErrors>
  <tableParts count="1">
    <tablePart r:id="rId1"/>
  </tableParts>
</worksheet>
</file>

<file path=xl/worksheets/sheet3.xml><?xml version="1.0" encoding="utf-8"?>
<worksheet xmlns="http://schemas.openxmlformats.org/spreadsheetml/2006/main" xmlns:r="http://schemas.openxmlformats.org/officeDocument/2006/relationships">
  <sheetPr>
    <tabColor theme="5" tint="0.39997558519241921"/>
  </sheetPr>
  <dimension ref="A1:K113"/>
  <sheetViews>
    <sheetView showGridLines="0" topLeftCell="A11" workbookViewId="0">
      <selection activeCell="A26" sqref="A26"/>
    </sheetView>
  </sheetViews>
  <sheetFormatPr defaultRowHeight="12.75"/>
  <cols>
    <col min="1" max="1" width="34" style="15" customWidth="1"/>
    <col min="2" max="4" width="17.7109375" style="15" bestFit="1" customWidth="1"/>
    <col min="5" max="5" width="17.7109375" style="16" bestFit="1" customWidth="1"/>
    <col min="6" max="6" width="26.7109375" style="17" customWidth="1"/>
    <col min="7" max="7" width="33.85546875" style="15" customWidth="1"/>
    <col min="8" max="11" width="17.7109375" style="15" bestFit="1" customWidth="1"/>
    <col min="12" max="16384" width="9.140625" style="17"/>
  </cols>
  <sheetData>
    <row r="1" spans="1:11" ht="15">
      <c r="A1" s="14" t="s">
        <v>190</v>
      </c>
    </row>
    <row r="2" spans="1:11">
      <c r="A2" s="18" t="s">
        <v>115</v>
      </c>
      <c r="B2" s="18"/>
      <c r="C2" s="18"/>
      <c r="D2" s="18"/>
      <c r="E2" s="19"/>
      <c r="G2" s="18" t="s">
        <v>114</v>
      </c>
      <c r="H2" s="18"/>
      <c r="I2" s="18"/>
      <c r="J2" s="18"/>
      <c r="K2" s="19"/>
    </row>
    <row r="3" spans="1:11">
      <c r="A3" s="20" t="s">
        <v>193</v>
      </c>
      <c r="B3" s="20"/>
      <c r="C3" s="20"/>
      <c r="D3" s="20"/>
      <c r="E3" s="21"/>
      <c r="G3" s="20" t="s">
        <v>113</v>
      </c>
      <c r="H3" s="20"/>
      <c r="I3" s="20"/>
      <c r="J3" s="20"/>
      <c r="K3" s="21"/>
    </row>
    <row r="4" spans="1:11">
      <c r="A4" s="20" t="s">
        <v>1</v>
      </c>
      <c r="B4" s="20"/>
      <c r="C4" s="20"/>
      <c r="D4" s="20"/>
      <c r="E4" s="21"/>
      <c r="G4" s="20" t="s">
        <v>1</v>
      </c>
      <c r="H4" s="20"/>
      <c r="I4" s="20"/>
      <c r="J4" s="20"/>
      <c r="K4" s="21"/>
    </row>
    <row r="5" spans="1:11">
      <c r="A5" s="22" t="s">
        <v>2</v>
      </c>
      <c r="B5" s="22"/>
      <c r="C5" s="22"/>
      <c r="D5" s="22"/>
      <c r="E5" s="23"/>
      <c r="G5" s="22" t="s">
        <v>2</v>
      </c>
      <c r="H5" s="22"/>
      <c r="I5" s="22"/>
      <c r="J5" s="22"/>
      <c r="K5" s="23"/>
    </row>
    <row r="6" spans="1:11">
      <c r="E6" s="15"/>
    </row>
    <row r="7" spans="1:11">
      <c r="A7" s="148"/>
      <c r="B7" s="149">
        <v>39721</v>
      </c>
      <c r="C7" s="149">
        <v>40086</v>
      </c>
      <c r="D7" s="149">
        <v>40451</v>
      </c>
      <c r="E7" s="149">
        <v>40816</v>
      </c>
      <c r="F7" s="24"/>
      <c r="G7" s="148"/>
      <c r="H7" s="149">
        <v>39721</v>
      </c>
      <c r="I7" s="149">
        <v>40086</v>
      </c>
      <c r="J7" s="149">
        <v>40451</v>
      </c>
      <c r="K7" s="149">
        <v>40816</v>
      </c>
    </row>
    <row r="8" spans="1:11">
      <c r="A8" s="17" t="s">
        <v>275</v>
      </c>
      <c r="B8" s="25">
        <f t="shared" ref="B8:B20" si="0">+H8/1.5</f>
        <v>16522423948.166666</v>
      </c>
      <c r="C8" s="25">
        <f t="shared" ref="C8:C20" si="1">+I8/1.5</f>
        <v>14253728943.553335</v>
      </c>
      <c r="D8" s="25">
        <f t="shared" ref="D8:D19" si="2">+J8/1.5</f>
        <v>11175220610.993334</v>
      </c>
      <c r="E8" s="26">
        <f t="shared" ref="E8:E19" si="3">+K8/1.5</f>
        <v>9952376060.7333336</v>
      </c>
      <c r="F8" s="24"/>
      <c r="G8" s="17" t="s">
        <v>275</v>
      </c>
      <c r="H8" s="25">
        <v>24783635922.25</v>
      </c>
      <c r="I8" s="25">
        <v>21380593415.330002</v>
      </c>
      <c r="J8" s="25">
        <v>16762830916.49</v>
      </c>
      <c r="K8" s="26">
        <v>14928564091.1</v>
      </c>
    </row>
    <row r="9" spans="1:11" ht="13.5" thickBot="1">
      <c r="A9" s="157" t="s">
        <v>4</v>
      </c>
      <c r="B9" s="155">
        <f t="shared" si="0"/>
        <v>14149080687.706667</v>
      </c>
      <c r="C9" s="155">
        <f t="shared" si="1"/>
        <v>11894928376.573334</v>
      </c>
      <c r="D9" s="155">
        <f t="shared" si="2"/>
        <v>9340656308.7800007</v>
      </c>
      <c r="E9" s="158">
        <f t="shared" si="3"/>
        <v>8273794479.1866674</v>
      </c>
      <c r="G9" s="157" t="s">
        <v>4</v>
      </c>
      <c r="H9" s="155">
        <v>21223621031.560001</v>
      </c>
      <c r="I9" s="155">
        <v>17842392564.860001</v>
      </c>
      <c r="J9" s="155">
        <v>14010984463.17</v>
      </c>
      <c r="K9" s="158">
        <v>12410691718.780001</v>
      </c>
    </row>
    <row r="10" spans="1:11" s="27" customFormat="1" ht="13.5" thickTop="1">
      <c r="A10" s="27" t="s">
        <v>5</v>
      </c>
      <c r="B10" s="28">
        <f t="shared" si="0"/>
        <v>2373343260.4599991</v>
      </c>
      <c r="C10" s="28">
        <f t="shared" si="1"/>
        <v>2358800566.980001</v>
      </c>
      <c r="D10" s="28">
        <f t="shared" si="2"/>
        <v>1834564302.2133331</v>
      </c>
      <c r="E10" s="29">
        <f t="shared" si="3"/>
        <v>1678581581.5466664</v>
      </c>
      <c r="G10" s="27" t="s">
        <v>5</v>
      </c>
      <c r="H10" s="28">
        <f>+H8-H9</f>
        <v>3560014890.6899986</v>
      </c>
      <c r="I10" s="28">
        <f>+I8-I9</f>
        <v>3538200850.4700012</v>
      </c>
      <c r="J10" s="28">
        <f>+J8-J9</f>
        <v>2751846453.3199997</v>
      </c>
      <c r="K10" s="29">
        <f>+K8-K9</f>
        <v>2517872372.3199997</v>
      </c>
    </row>
    <row r="11" spans="1:11">
      <c r="A11" s="17" t="s">
        <v>6</v>
      </c>
      <c r="B11" s="25">
        <f t="shared" si="0"/>
        <v>1209005884.9866667</v>
      </c>
      <c r="C11" s="25">
        <f t="shared" si="1"/>
        <v>1217703034.3533332</v>
      </c>
      <c r="D11" s="25">
        <f t="shared" si="2"/>
        <v>1077193257.9200001</v>
      </c>
      <c r="E11" s="26">
        <f t="shared" si="3"/>
        <v>979213416.20666659</v>
      </c>
      <c r="G11" s="17" t="s">
        <v>6</v>
      </c>
      <c r="H11" s="25">
        <f>641944020.13+140986412.52+535423258.64+495155136.19</f>
        <v>1813508827.48</v>
      </c>
      <c r="I11" s="25">
        <f>672388985.47+78223409.21+575199011.36+500743145.49</f>
        <v>1826554551.53</v>
      </c>
      <c r="J11" s="25">
        <f>590801718.62+461370407.08+494945507.46+68672253.72</f>
        <v>1615789886.8800001</v>
      </c>
      <c r="K11" s="26">
        <f>517792033.33+390268396.34+516069690.56+44690004.08</f>
        <v>1468820124.3099999</v>
      </c>
    </row>
    <row r="12" spans="1:11" ht="13.5" thickBot="1">
      <c r="A12" s="157" t="s">
        <v>7</v>
      </c>
      <c r="B12" s="155">
        <f t="shared" si="0"/>
        <v>782452723.44666672</v>
      </c>
      <c r="C12" s="155">
        <f t="shared" si="1"/>
        <v>736580000.94000006</v>
      </c>
      <c r="D12" s="155">
        <f t="shared" si="2"/>
        <v>687446278.89333332</v>
      </c>
      <c r="E12" s="158">
        <f t="shared" si="3"/>
        <v>614421205.32666671</v>
      </c>
      <c r="G12" s="157" t="s">
        <v>7</v>
      </c>
      <c r="H12" s="155">
        <f>1173679085.17</f>
        <v>1173679085.1700001</v>
      </c>
      <c r="I12" s="155">
        <f>1104870001.41</f>
        <v>1104870001.4100001</v>
      </c>
      <c r="J12" s="155">
        <f>1031169418.34</f>
        <v>1031169418.34</v>
      </c>
      <c r="K12" s="158">
        <f>921631807.99</f>
        <v>921631807.99000001</v>
      </c>
    </row>
    <row r="13" spans="1:11" ht="13.5" thickTop="1">
      <c r="A13" s="27" t="s">
        <v>8</v>
      </c>
      <c r="B13" s="28">
        <f t="shared" si="0"/>
        <v>381884652.02666569</v>
      </c>
      <c r="C13" s="28">
        <f t="shared" si="1"/>
        <v>404517531.68666744</v>
      </c>
      <c r="D13" s="28">
        <f t="shared" si="2"/>
        <v>69924765.399999693</v>
      </c>
      <c r="E13" s="29">
        <f t="shared" si="3"/>
        <v>84946960.013333157</v>
      </c>
      <c r="G13" s="27" t="s">
        <v>8</v>
      </c>
      <c r="H13" s="28">
        <f>+H10-H11-H12</f>
        <v>572826978.03999853</v>
      </c>
      <c r="I13" s="28">
        <f>+I10-I11-I12</f>
        <v>606776297.53000116</v>
      </c>
      <c r="J13" s="28">
        <f>+J10-J11-J12</f>
        <v>104887148.09999955</v>
      </c>
      <c r="K13" s="29">
        <f>+K10-K11-K12</f>
        <v>127420440.01999974</v>
      </c>
    </row>
    <row r="14" spans="1:11">
      <c r="A14" s="17" t="s">
        <v>9</v>
      </c>
      <c r="B14" s="25">
        <f t="shared" si="0"/>
        <v>301633125.56</v>
      </c>
      <c r="C14" s="25">
        <f t="shared" si="1"/>
        <v>339416102.39333332</v>
      </c>
      <c r="D14" s="25">
        <f t="shared" si="2"/>
        <v>157795880.59333333</v>
      </c>
      <c r="E14" s="26">
        <f t="shared" si="3"/>
        <v>238178340.93333331</v>
      </c>
      <c r="G14" s="17" t="s">
        <v>9</v>
      </c>
      <c r="H14" s="25">
        <v>452449688.33999997</v>
      </c>
      <c r="I14" s="25">
        <v>509124153.58999997</v>
      </c>
      <c r="J14" s="25">
        <v>236693820.88999999</v>
      </c>
      <c r="K14" s="26">
        <v>357267511.39999998</v>
      </c>
    </row>
    <row r="15" spans="1:11">
      <c r="A15" s="17" t="s">
        <v>15</v>
      </c>
      <c r="B15" s="25">
        <f t="shared" si="0"/>
        <v>8727489.7000000011</v>
      </c>
      <c r="C15" s="25">
        <f t="shared" si="1"/>
        <v>0</v>
      </c>
      <c r="D15" s="25">
        <f t="shared" si="2"/>
        <v>124479996.33999999</v>
      </c>
      <c r="E15" s="26">
        <f t="shared" si="3"/>
        <v>268920506.40000004</v>
      </c>
      <c r="G15" s="17" t="s">
        <v>15</v>
      </c>
      <c r="H15" s="25">
        <v>13091234.550000001</v>
      </c>
      <c r="I15" s="25">
        <v>0</v>
      </c>
      <c r="J15" s="25">
        <v>186719994.50999999</v>
      </c>
      <c r="K15" s="26">
        <v>403380759.60000002</v>
      </c>
    </row>
    <row r="16" spans="1:11">
      <c r="A16" s="17" t="s">
        <v>10</v>
      </c>
      <c r="B16" s="25">
        <f t="shared" si="0"/>
        <v>104745552.27999999</v>
      </c>
      <c r="C16" s="25">
        <f t="shared" si="1"/>
        <v>105699861.89999999</v>
      </c>
      <c r="D16" s="25">
        <f t="shared" si="2"/>
        <v>0</v>
      </c>
      <c r="E16" s="26">
        <f t="shared" si="3"/>
        <v>0</v>
      </c>
      <c r="G16" s="17" t="s">
        <v>10</v>
      </c>
      <c r="H16" s="25">
        <v>157118328.41999999</v>
      </c>
      <c r="I16" s="25">
        <v>158549792.84999999</v>
      </c>
      <c r="J16" s="25">
        <v>0</v>
      </c>
      <c r="K16" s="26">
        <v>0</v>
      </c>
    </row>
    <row r="17" spans="1:11" ht="13.5" thickBot="1">
      <c r="A17" s="157" t="s">
        <v>11</v>
      </c>
      <c r="B17" s="155">
        <f t="shared" si="0"/>
        <v>0</v>
      </c>
      <c r="C17" s="155">
        <f t="shared" si="1"/>
        <v>0</v>
      </c>
      <c r="D17" s="155">
        <f t="shared" si="2"/>
        <v>0</v>
      </c>
      <c r="E17" s="158">
        <f t="shared" si="3"/>
        <v>0</v>
      </c>
      <c r="G17" s="157" t="s">
        <v>11</v>
      </c>
      <c r="H17" s="155">
        <v>0</v>
      </c>
      <c r="I17" s="155">
        <v>0</v>
      </c>
      <c r="J17" s="155">
        <v>0</v>
      </c>
      <c r="K17" s="158">
        <v>0</v>
      </c>
    </row>
    <row r="18" spans="1:11" ht="13.5" thickTop="1">
      <c r="A18" s="27" t="s">
        <v>12</v>
      </c>
      <c r="B18" s="28">
        <f t="shared" si="0"/>
        <v>193724568.44666567</v>
      </c>
      <c r="C18" s="28">
        <f t="shared" si="1"/>
        <v>170801291.19333413</v>
      </c>
      <c r="D18" s="28">
        <f t="shared" si="2"/>
        <v>36608881.14666637</v>
      </c>
      <c r="E18" s="29">
        <f t="shared" si="3"/>
        <v>115689125.47999986</v>
      </c>
      <c r="G18" s="27" t="s">
        <v>12</v>
      </c>
      <c r="H18" s="29">
        <f>+H13-H14+H15-H17+H16</f>
        <v>290586852.66999853</v>
      </c>
      <c r="I18" s="29">
        <f>+I13-I14+I15-I17+I16</f>
        <v>256201936.79000118</v>
      </c>
      <c r="J18" s="29">
        <f>+J13-J14+J15-J17+J16</f>
        <v>54913321.719999552</v>
      </c>
      <c r="K18" s="29">
        <f>+K13-K14+K15-K17+K16</f>
        <v>173533688.21999979</v>
      </c>
    </row>
    <row r="19" spans="1:11" ht="13.5" thickBot="1">
      <c r="A19" s="157" t="s">
        <v>13</v>
      </c>
      <c r="B19" s="155">
        <f t="shared" si="0"/>
        <v>88612803.573333338</v>
      </c>
      <c r="C19" s="155">
        <f t="shared" si="1"/>
        <v>88991919.186666667</v>
      </c>
      <c r="D19" s="155">
        <f t="shared" si="2"/>
        <v>25163829.98</v>
      </c>
      <c r="E19" s="158">
        <f t="shared" si="3"/>
        <v>3867030.973333329</v>
      </c>
      <c r="G19" s="157" t="s">
        <v>13</v>
      </c>
      <c r="H19" s="155">
        <f>87176055.8+45743149.56</f>
        <v>132919205.36</v>
      </c>
      <c r="I19" s="155">
        <f>76860581.04+56627297.74</f>
        <v>133487878.78</v>
      </c>
      <c r="J19" s="155">
        <f>16473996.52+21271748.45</f>
        <v>37745744.969999999</v>
      </c>
      <c r="K19" s="158">
        <f>52060106.47+22340439.99-68600000</f>
        <v>5800546.4599999934</v>
      </c>
    </row>
    <row r="20" spans="1:11" ht="13.5" thickTop="1">
      <c r="A20" s="27" t="s">
        <v>14</v>
      </c>
      <c r="B20" s="28">
        <f t="shared" si="0"/>
        <v>105111764.87333234</v>
      </c>
      <c r="C20" s="28">
        <f t="shared" si="1"/>
        <v>81809372.00666745</v>
      </c>
      <c r="D20" s="28">
        <f>+J20/1.5</f>
        <v>11445051.166666368</v>
      </c>
      <c r="E20" s="29">
        <f>+K20/1.5</f>
        <v>111822094.50666654</v>
      </c>
      <c r="G20" s="27" t="s">
        <v>14</v>
      </c>
      <c r="H20" s="28">
        <f>+H18-H19</f>
        <v>157667647.30999851</v>
      </c>
      <c r="I20" s="28">
        <f>+I18-I19</f>
        <v>122714058.01000118</v>
      </c>
      <c r="J20" s="28">
        <f>+J18-J19</f>
        <v>17167576.749999553</v>
      </c>
      <c r="K20" s="29">
        <f>+K18-K19</f>
        <v>167733141.75999981</v>
      </c>
    </row>
    <row r="21" spans="1:11">
      <c r="A21" s="17"/>
      <c r="B21" s="30">
        <f>+B19/B18</f>
        <v>0.45741644585327512</v>
      </c>
      <c r="C21" s="30">
        <f>+C19/C18</f>
        <v>0.52102603302884021</v>
      </c>
      <c r="D21" s="30">
        <f>+D19/D18</f>
        <v>0.68736954508896364</v>
      </c>
      <c r="E21" s="30">
        <f>+E19/E18</f>
        <v>3.3426054154086025E-2</v>
      </c>
      <c r="G21" s="17"/>
      <c r="H21" s="30">
        <f>+H19/H18</f>
        <v>0.45741644585327507</v>
      </c>
      <c r="I21" s="30">
        <f>+I19/I18</f>
        <v>0.52102603302884021</v>
      </c>
      <c r="J21" s="30">
        <f>+J19/J18</f>
        <v>0.68736954508896364</v>
      </c>
      <c r="K21" s="30">
        <f>+K19/K18</f>
        <v>3.3426054154086025E-2</v>
      </c>
    </row>
    <row r="22" spans="1:11">
      <c r="K22" s="16"/>
    </row>
    <row r="23" spans="1:11" ht="15">
      <c r="A23"/>
      <c r="B23"/>
      <c r="C23"/>
      <c r="D23"/>
      <c r="E23"/>
      <c r="G23"/>
      <c r="H23"/>
      <c r="I23"/>
      <c r="J23"/>
      <c r="K23"/>
    </row>
    <row r="24" spans="1:11">
      <c r="A24" s="17" t="str">
        <f>+G24</f>
        <v>Compras</v>
      </c>
      <c r="B24" s="32">
        <f t="shared" ref="B24:E25" si="4">+H24/1.5</f>
        <v>0</v>
      </c>
      <c r="C24" s="32">
        <f t="shared" si="4"/>
        <v>11324667846.073334</v>
      </c>
      <c r="D24" s="32">
        <f t="shared" si="4"/>
        <v>9139633794.6866665</v>
      </c>
      <c r="E24" s="32">
        <f t="shared" si="4"/>
        <v>8355136148.666667</v>
      </c>
      <c r="G24" s="17" t="s">
        <v>240</v>
      </c>
      <c r="H24" s="17"/>
      <c r="I24" s="25">
        <v>16987001769.110001</v>
      </c>
      <c r="J24" s="25">
        <v>13709450692.030001</v>
      </c>
      <c r="K24" s="25">
        <v>12532704223</v>
      </c>
    </row>
    <row r="25" spans="1:11">
      <c r="A25" s="17" t="str">
        <f>+G25</f>
        <v>Depreciación</v>
      </c>
      <c r="B25" s="32">
        <f t="shared" si="4"/>
        <v>93990941.680000007</v>
      </c>
      <c r="C25" s="32">
        <f t="shared" si="4"/>
        <v>52148939.473333329</v>
      </c>
      <c r="D25" s="32">
        <f t="shared" si="4"/>
        <v>45781502.479999997</v>
      </c>
      <c r="E25" s="32">
        <f t="shared" si="4"/>
        <v>29793336.053333331</v>
      </c>
      <c r="G25" s="15" t="s">
        <v>90</v>
      </c>
      <c r="H25" s="32">
        <v>140986412.52000001</v>
      </c>
      <c r="I25" s="32">
        <v>78223409.209999993</v>
      </c>
      <c r="J25" s="32">
        <v>68672253.719999999</v>
      </c>
      <c r="K25" s="32">
        <v>44690004.079999998</v>
      </c>
    </row>
    <row r="27" spans="1:11">
      <c r="A27" s="313" t="s">
        <v>120</v>
      </c>
      <c r="B27" s="314">
        <v>1.5</v>
      </c>
    </row>
    <row r="30" spans="1:11">
      <c r="A30" s="31">
        <f>+E11+E12</f>
        <v>1593634621.5333333</v>
      </c>
    </row>
    <row r="31" spans="1:11">
      <c r="A31" s="31">
        <f>+B11+B12</f>
        <v>1991458608.4333334</v>
      </c>
    </row>
    <row r="32" spans="1:11">
      <c r="A32" s="31">
        <f>+A30/A31</f>
        <v>0.8002348704535891</v>
      </c>
    </row>
    <row r="67" spans="2:11">
      <c r="B67" s="31"/>
      <c r="C67" s="31"/>
      <c r="H67" s="31"/>
      <c r="I67" s="31"/>
      <c r="K67" s="16"/>
    </row>
    <row r="112" spans="1:11">
      <c r="A112" s="17"/>
      <c r="B112" s="17"/>
      <c r="C112" s="17"/>
      <c r="D112" s="17"/>
      <c r="E112" s="26"/>
      <c r="G112" s="17"/>
      <c r="H112" s="17"/>
      <c r="I112" s="17"/>
      <c r="J112" s="17"/>
      <c r="K112" s="26"/>
    </row>
    <row r="113" spans="1:11">
      <c r="A113" s="17"/>
      <c r="B113" s="17"/>
      <c r="C113" s="17"/>
      <c r="D113" s="17"/>
      <c r="E113" s="26"/>
      <c r="G113" s="17"/>
      <c r="H113" s="17"/>
      <c r="I113" s="17"/>
      <c r="J113" s="17"/>
      <c r="K113" s="17"/>
    </row>
  </sheetData>
  <hyperlinks>
    <hyperlink ref="A1" location="Indice!A1" display="Volver a la página del Indice"/>
  </hyperlinks>
  <pageMargins left="0.7" right="0.7" top="0.75" bottom="0.75" header="0.3" footer="0.3"/>
  <pageSetup orientation="portrait" horizontalDpi="4294967293" verticalDpi="0" r:id="rId1"/>
  <tableParts count="4">
    <tablePart r:id="rId2"/>
    <tablePart r:id="rId3"/>
    <tablePart r:id="rId4"/>
    <tablePart r:id="rId5"/>
  </tableParts>
</worksheet>
</file>

<file path=xl/worksheets/sheet4.xml><?xml version="1.0" encoding="utf-8"?>
<worksheet xmlns="http://schemas.openxmlformats.org/spreadsheetml/2006/main" xmlns:r="http://schemas.openxmlformats.org/officeDocument/2006/relationships">
  <dimension ref="B3:J88"/>
  <sheetViews>
    <sheetView showGridLines="0" topLeftCell="B5" workbookViewId="0">
      <selection activeCell="B7" sqref="B7:E36"/>
    </sheetView>
  </sheetViews>
  <sheetFormatPr defaultRowHeight="12.75"/>
  <cols>
    <col min="1" max="1" width="9.140625" style="228"/>
    <col min="2" max="2" width="49" style="228" bestFit="1" customWidth="1"/>
    <col min="3" max="3" width="16" style="229" bestFit="1" customWidth="1"/>
    <col min="4" max="4" width="15.5703125" style="229" bestFit="1" customWidth="1"/>
    <col min="5" max="5" width="16.5703125" style="228" bestFit="1" customWidth="1"/>
    <col min="6" max="6" width="9.140625" style="228"/>
    <col min="7" max="7" width="15" style="228" bestFit="1" customWidth="1"/>
    <col min="8" max="16384" width="9.140625" style="228"/>
  </cols>
  <sheetData>
    <row r="3" spans="2:10">
      <c r="B3" s="234" t="s">
        <v>193</v>
      </c>
      <c r="C3" s="233"/>
      <c r="D3" s="233"/>
      <c r="E3" s="233"/>
    </row>
    <row r="4" spans="2:10">
      <c r="B4" s="234" t="s">
        <v>241</v>
      </c>
      <c r="C4" s="233"/>
      <c r="D4" s="233"/>
      <c r="E4" s="233"/>
    </row>
    <row r="5" spans="2:10">
      <c r="B5" s="234" t="s">
        <v>16</v>
      </c>
      <c r="C5" s="233"/>
      <c r="D5" s="233"/>
      <c r="E5" s="233"/>
    </row>
    <row r="6" spans="2:10" ht="15">
      <c r="B6"/>
      <c r="C6"/>
      <c r="D6"/>
      <c r="E6"/>
    </row>
    <row r="7" spans="2:10">
      <c r="B7" s="433" t="s">
        <v>237</v>
      </c>
      <c r="C7" s="434">
        <v>2009</v>
      </c>
      <c r="D7" s="434">
        <v>2010</v>
      </c>
      <c r="E7" s="434">
        <v>2011</v>
      </c>
      <c r="J7" s="20"/>
    </row>
    <row r="8" spans="2:10">
      <c r="B8" s="435" t="s">
        <v>236</v>
      </c>
      <c r="C8" s="436">
        <f>+'2.Estado Resultados'!C20</f>
        <v>81809372.00666745</v>
      </c>
      <c r="D8" s="436">
        <f>+'2.Estado Resultados'!D20</f>
        <v>11445051.166666368</v>
      </c>
      <c r="E8" s="436">
        <f>+'2.Estado Resultados'!E20</f>
        <v>111822094.50666654</v>
      </c>
      <c r="J8" s="20"/>
    </row>
    <row r="9" spans="2:10">
      <c r="B9" s="452" t="s">
        <v>235</v>
      </c>
      <c r="C9" s="436">
        <f>+'2.Estado Resultados'!C25</f>
        <v>52148939.473333329</v>
      </c>
      <c r="D9" s="436">
        <f>+'2.Estado Resultados'!D25</f>
        <v>45781502.479999997</v>
      </c>
      <c r="E9" s="436">
        <f>+'2.Estado Resultados'!E25</f>
        <v>29793336.053333331</v>
      </c>
      <c r="J9" s="20"/>
    </row>
    <row r="10" spans="2:10" ht="13.5" thickBot="1">
      <c r="B10" s="453" t="s">
        <v>339</v>
      </c>
      <c r="C10" s="454">
        <f>+'2.Estado Resultados'!C14</f>
        <v>339416102.39333332</v>
      </c>
      <c r="D10" s="454">
        <f>+'2.Estado Resultados'!D14</f>
        <v>157795880.59333333</v>
      </c>
      <c r="E10" s="454">
        <f>+'2.Estado Resultados'!E14</f>
        <v>238178340.93333331</v>
      </c>
      <c r="J10" s="20"/>
    </row>
    <row r="11" spans="2:10">
      <c r="B11" s="442" t="s">
        <v>332</v>
      </c>
      <c r="C11" s="247">
        <f>SUM(C8:C9)</f>
        <v>133958311.48000078</v>
      </c>
      <c r="D11" s="247">
        <f>SUM(D8:D9)</f>
        <v>57226553.646666363</v>
      </c>
      <c r="E11" s="247">
        <f>SUM(E8:E9)</f>
        <v>141615430.55999988</v>
      </c>
    </row>
    <row r="12" spans="2:10">
      <c r="B12" s="435"/>
      <c r="C12" s="436"/>
      <c r="D12" s="436"/>
      <c r="E12" s="436"/>
    </row>
    <row r="13" spans="2:10">
      <c r="B13" s="442" t="s">
        <v>229</v>
      </c>
      <c r="C13" s="436"/>
      <c r="D13" s="436"/>
      <c r="E13" s="436"/>
    </row>
    <row r="14" spans="2:10" ht="13.5" thickBot="1">
      <c r="B14" s="438" t="s">
        <v>234</v>
      </c>
      <c r="C14" s="437">
        <f>-SUM('5.A. horizontal'!C11:C14)+SUM('5.A. horizontal'!C23:C29)</f>
        <v>-135609835.83333349</v>
      </c>
      <c r="D14" s="437">
        <f>-SUM('5.A. horizontal'!F11:F14)+SUM('5.A. horizontal'!F23:F29)</f>
        <v>968309.68666656315</v>
      </c>
      <c r="E14" s="437">
        <f>-SUM('5.A. horizontal'!I11:I14)+SUM('5.A. horizontal'!I23:I29)</f>
        <v>1088230325.0133338</v>
      </c>
    </row>
    <row r="15" spans="2:10" ht="13.5" thickTop="1">
      <c r="B15" s="440" t="s">
        <v>233</v>
      </c>
      <c r="C15" s="436">
        <f>-'5.A. horizontal'!C18-C9-'5.A. horizontal'!C42+'5.A. horizontal'!C42</f>
        <v>-58111979.913333386</v>
      </c>
      <c r="D15" s="436">
        <f>-'5.A. horizontal'!F18-D9+'5.A. horizontal'!F42</f>
        <v>-13119601.506666638</v>
      </c>
      <c r="E15" s="436">
        <f>-'5.A. horizontal'!I18-E9+'5.A. horizontal'!I42</f>
        <v>-56521634.906666324</v>
      </c>
    </row>
    <row r="16" spans="2:10" ht="13.5" thickBot="1">
      <c r="B16" s="438" t="s">
        <v>30</v>
      </c>
      <c r="C16" s="437">
        <f>-'5.A. horizontal'!C19</f>
        <v>-127785031.90666667</v>
      </c>
      <c r="D16" s="437">
        <f>-'5.A. horizontal'!F19</f>
        <v>183685853.16666669</v>
      </c>
      <c r="E16" s="437">
        <f>-'5.A. horizontal'!I19</f>
        <v>-813060508.61333346</v>
      </c>
    </row>
    <row r="17" spans="2:5" ht="14.25" thickTop="1" thickBot="1">
      <c r="B17" s="449" t="s">
        <v>232</v>
      </c>
      <c r="C17" s="450">
        <f>SUM(C14:C16)</f>
        <v>-321506847.65333354</v>
      </c>
      <c r="D17" s="450">
        <f>SUM(D14:D16)</f>
        <v>171534561.3466666</v>
      </c>
      <c r="E17" s="450">
        <f>SUM(E14:E16)</f>
        <v>218648181.49333405</v>
      </c>
    </row>
    <row r="18" spans="2:5" ht="13.5" thickTop="1">
      <c r="B18" s="442" t="s">
        <v>231</v>
      </c>
      <c r="C18" s="443">
        <f>+C11+C17</f>
        <v>-187548536.17333275</v>
      </c>
      <c r="D18" s="443">
        <f t="shared" ref="D18:E18" si="0">+D11+D17</f>
        <v>228761114.99333298</v>
      </c>
      <c r="E18" s="443">
        <f t="shared" si="0"/>
        <v>360263612.05333394</v>
      </c>
    </row>
    <row r="19" spans="2:5">
      <c r="B19" s="441"/>
      <c r="C19" s="439"/>
      <c r="D19" s="439"/>
      <c r="E19" s="439"/>
    </row>
    <row r="20" spans="2:5">
      <c r="B20" s="442" t="s">
        <v>230</v>
      </c>
      <c r="C20" s="439"/>
      <c r="D20" s="439"/>
      <c r="E20" s="439"/>
    </row>
    <row r="21" spans="2:5">
      <c r="B21" s="440" t="s">
        <v>333</v>
      </c>
      <c r="C21" s="436">
        <f>SUM('5.A. horizontal'!C34:C35)</f>
        <v>-70572704.52666676</v>
      </c>
      <c r="D21" s="436">
        <f>SUM('5.A. horizontal'!F34:F35)</f>
        <v>270696850.07333338</v>
      </c>
      <c r="E21" s="436">
        <f>SUM('5.A. horizontal'!I34:I35)+'1.Estado Situación'!E49</f>
        <v>86032106.173333257</v>
      </c>
    </row>
    <row r="22" spans="2:5" ht="13.5" thickBot="1">
      <c r="B22" s="438" t="s">
        <v>334</v>
      </c>
      <c r="C22" s="437">
        <f>'5.A. horizontal'!C33</f>
        <v>24326518.899999857</v>
      </c>
      <c r="D22" s="437">
        <f>'5.A. horizontal'!F33</f>
        <v>-533057365.51999986</v>
      </c>
      <c r="E22" s="437">
        <f>'5.A. horizontal'!I33</f>
        <v>-442811445.51333332</v>
      </c>
    </row>
    <row r="23" spans="2:5" ht="14.25" thickTop="1" thickBot="1">
      <c r="B23" s="449" t="s">
        <v>228</v>
      </c>
      <c r="C23" s="450">
        <f>SUM(C21:C22)</f>
        <v>-46246185.626666903</v>
      </c>
      <c r="D23" s="450">
        <f>SUM(D21:D22)</f>
        <v>-262360515.44666648</v>
      </c>
      <c r="E23" s="450">
        <f>SUM(E21:E22)</f>
        <v>-356779339.34000003</v>
      </c>
    </row>
    <row r="24" spans="2:5" ht="13.5" thickTop="1">
      <c r="B24" s="442" t="s">
        <v>227</v>
      </c>
      <c r="C24" s="247">
        <f>+C18+C23</f>
        <v>-233794721.79999965</v>
      </c>
      <c r="D24" s="247">
        <f>+D18+D23</f>
        <v>-33599400.453333497</v>
      </c>
      <c r="E24" s="247">
        <f>+E18+E23</f>
        <v>3484272.7133339047</v>
      </c>
    </row>
    <row r="25" spans="2:5" hidden="1">
      <c r="B25" s="441"/>
      <c r="C25" s="436"/>
      <c r="D25" s="436"/>
      <c r="E25" s="436"/>
    </row>
    <row r="26" spans="2:5" hidden="1">
      <c r="B26" s="442" t="s">
        <v>226</v>
      </c>
      <c r="C26" s="436"/>
      <c r="D26" s="436"/>
      <c r="E26" s="436"/>
    </row>
    <row r="27" spans="2:5" hidden="1">
      <c r="B27" s="440" t="s">
        <v>225</v>
      </c>
      <c r="C27" s="436">
        <f>+'5.A. horizontal'!C40</f>
        <v>0</v>
      </c>
      <c r="D27" s="436">
        <f>+'5.A. horizontal'!F40</f>
        <v>0</v>
      </c>
      <c r="E27" s="436">
        <f>+'5.A. horizontal'!I40</f>
        <v>0</v>
      </c>
    </row>
    <row r="28" spans="2:5" hidden="1">
      <c r="B28" s="440" t="str">
        <f>+'5.A. horizontal'!A40</f>
        <v>Capital acciones</v>
      </c>
      <c r="C28" s="436">
        <f>+'5.A. horizontal'!C40</f>
        <v>0</v>
      </c>
      <c r="D28" s="436">
        <f>+'5.A. horizontal'!F40</f>
        <v>0</v>
      </c>
      <c r="E28" s="436">
        <f>+'5.A. horizontal'!I40</f>
        <v>0</v>
      </c>
    </row>
    <row r="29" spans="2:5" hidden="1">
      <c r="B29" s="440" t="s">
        <v>220</v>
      </c>
      <c r="C29" s="436">
        <v>0</v>
      </c>
      <c r="D29" s="436">
        <v>0</v>
      </c>
      <c r="E29" s="436">
        <v>0</v>
      </c>
    </row>
    <row r="30" spans="2:5" ht="13.5" hidden="1" thickBot="1">
      <c r="B30" s="449" t="s">
        <v>224</v>
      </c>
      <c r="C30" s="450">
        <f>SUM(C27:C29)</f>
        <v>0</v>
      </c>
      <c r="D30" s="450">
        <f>SUM(D27:D29)</f>
        <v>0</v>
      </c>
      <c r="E30" s="450">
        <f>SUM(E27:E29)</f>
        <v>0</v>
      </c>
    </row>
    <row r="31" spans="2:5" hidden="1">
      <c r="B31" s="441"/>
      <c r="C31" s="436"/>
      <c r="D31" s="436"/>
      <c r="E31" s="436"/>
    </row>
    <row r="32" spans="2:5">
      <c r="B32" s="435"/>
      <c r="C32" s="439"/>
      <c r="D32" s="439"/>
      <c r="E32" s="439"/>
    </row>
    <row r="33" spans="2:6">
      <c r="B33" s="442" t="s">
        <v>223</v>
      </c>
      <c r="C33" s="247">
        <f>+C24+C30</f>
        <v>-233794721.79999965</v>
      </c>
      <c r="D33" s="247">
        <f>+D24+D30</f>
        <v>-33599400.453333497</v>
      </c>
      <c r="E33" s="247">
        <f>+E24+E30</f>
        <v>3484272.7133339047</v>
      </c>
    </row>
    <row r="34" spans="2:6" ht="13.5" thickBot="1">
      <c r="B34" s="451"/>
      <c r="C34" s="437"/>
      <c r="D34" s="437"/>
      <c r="E34" s="437"/>
    </row>
    <row r="35" spans="2:6" ht="13.5" thickTop="1">
      <c r="B35" s="442" t="s">
        <v>222</v>
      </c>
      <c r="C35" s="247">
        <f>+'5.A. horizontal'!B9+'5.A. horizontal'!B10</f>
        <v>386794495.81333333</v>
      </c>
      <c r="D35" s="247">
        <f>+'1.Estado Situación'!C9+'1.Estado Situación'!C10</f>
        <v>152999774.01333332</v>
      </c>
      <c r="E35" s="247">
        <f>+'1.Estado Situación'!D9+'1.Estado Situación'!D10</f>
        <v>119400373.56</v>
      </c>
    </row>
    <row r="36" spans="2:6">
      <c r="B36" s="505" t="s">
        <v>221</v>
      </c>
      <c r="C36" s="506">
        <f>+C33+C35</f>
        <v>152999774.01333368</v>
      </c>
      <c r="D36" s="506">
        <f>+D33+D35</f>
        <v>119400373.55999982</v>
      </c>
      <c r="E36" s="506">
        <f>+E33+E35</f>
        <v>122884646.27333391</v>
      </c>
    </row>
    <row r="37" spans="2:6">
      <c r="B37" s="232"/>
      <c r="E37" s="229"/>
    </row>
    <row r="38" spans="2:6">
      <c r="C38" s="230"/>
      <c r="D38" s="228"/>
    </row>
    <row r="39" spans="2:6">
      <c r="C39" s="229">
        <f>+C36-'1.Estado Situación'!C9-'1.Estado Situación'!C10</f>
        <v>3.5576522350311279E-7</v>
      </c>
      <c r="D39" s="231">
        <f>+D36-'1.Estado Situación'!D9-'1.Estado Situación'!D10</f>
        <v>-1.7508864402770996E-7</v>
      </c>
      <c r="E39" s="231">
        <f>+E36-'1.Estado Situación'!E9-'1.Estado Situación'!E10</f>
        <v>-6.6661015152931213E-3</v>
      </c>
      <c r="F39" s="230"/>
    </row>
    <row r="43" spans="2:6">
      <c r="C43" s="230"/>
      <c r="D43" s="230"/>
    </row>
    <row r="44" spans="2:6">
      <c r="C44" s="230"/>
      <c r="D44" s="230"/>
    </row>
    <row r="45" spans="2:6">
      <c r="C45" s="230"/>
      <c r="D45" s="230"/>
    </row>
    <row r="46" spans="2:6">
      <c r="C46" s="230"/>
      <c r="D46" s="230"/>
    </row>
    <row r="47" spans="2:6">
      <c r="B47" s="455" t="s">
        <v>340</v>
      </c>
      <c r="C47" s="230"/>
      <c r="D47" s="230"/>
    </row>
    <row r="48" spans="2:6">
      <c r="C48" s="230"/>
      <c r="D48" s="230"/>
    </row>
    <row r="49" spans="3:4">
      <c r="C49" s="230"/>
      <c r="D49" s="230"/>
    </row>
    <row r="50" spans="3:4">
      <c r="C50" s="230"/>
      <c r="D50" s="230"/>
    </row>
    <row r="51" spans="3:4">
      <c r="C51" s="230"/>
      <c r="D51" s="230"/>
    </row>
    <row r="52" spans="3:4">
      <c r="C52" s="230"/>
      <c r="D52" s="230"/>
    </row>
    <row r="53" spans="3:4">
      <c r="C53" s="230"/>
      <c r="D53" s="230"/>
    </row>
    <row r="54" spans="3:4">
      <c r="C54" s="230"/>
      <c r="D54" s="230"/>
    </row>
    <row r="55" spans="3:4">
      <c r="C55" s="230"/>
      <c r="D55" s="230"/>
    </row>
    <row r="56" spans="3:4">
      <c r="C56" s="230"/>
      <c r="D56" s="230"/>
    </row>
    <row r="57" spans="3:4">
      <c r="C57" s="230"/>
      <c r="D57" s="230"/>
    </row>
    <row r="58" spans="3:4">
      <c r="C58" s="230"/>
      <c r="D58" s="230"/>
    </row>
    <row r="59" spans="3:4">
      <c r="C59" s="230"/>
      <c r="D59" s="230"/>
    </row>
    <row r="60" spans="3:4">
      <c r="C60" s="230"/>
      <c r="D60" s="230"/>
    </row>
    <row r="61" spans="3:4">
      <c r="C61" s="230"/>
      <c r="D61" s="230"/>
    </row>
    <row r="62" spans="3:4">
      <c r="C62" s="230"/>
      <c r="D62" s="230"/>
    </row>
    <row r="63" spans="3:4">
      <c r="C63" s="230"/>
      <c r="D63" s="230"/>
    </row>
    <row r="64" spans="3:4">
      <c r="C64" s="230"/>
      <c r="D64" s="230"/>
    </row>
    <row r="65" spans="3:4">
      <c r="C65" s="230"/>
      <c r="D65" s="230"/>
    </row>
    <row r="66" spans="3:4">
      <c r="C66" s="230"/>
      <c r="D66" s="230"/>
    </row>
    <row r="67" spans="3:4">
      <c r="C67" s="230"/>
      <c r="D67" s="230"/>
    </row>
    <row r="68" spans="3:4">
      <c r="C68" s="230"/>
      <c r="D68" s="230"/>
    </row>
    <row r="69" spans="3:4">
      <c r="C69" s="230"/>
      <c r="D69" s="230"/>
    </row>
    <row r="70" spans="3:4">
      <c r="C70" s="230"/>
      <c r="D70" s="230"/>
    </row>
    <row r="71" spans="3:4">
      <c r="C71" s="230"/>
      <c r="D71" s="230"/>
    </row>
    <row r="72" spans="3:4">
      <c r="C72" s="230"/>
      <c r="D72" s="230"/>
    </row>
    <row r="73" spans="3:4">
      <c r="C73" s="230"/>
      <c r="D73" s="230"/>
    </row>
    <row r="74" spans="3:4">
      <c r="C74" s="230"/>
      <c r="D74" s="230"/>
    </row>
    <row r="75" spans="3:4">
      <c r="C75" s="230"/>
      <c r="D75" s="230"/>
    </row>
    <row r="76" spans="3:4">
      <c r="C76" s="230"/>
      <c r="D76" s="230"/>
    </row>
    <row r="77" spans="3:4">
      <c r="C77" s="230"/>
      <c r="D77" s="230"/>
    </row>
    <row r="78" spans="3:4">
      <c r="C78" s="230"/>
      <c r="D78" s="230"/>
    </row>
    <row r="79" spans="3:4">
      <c r="C79" s="230"/>
      <c r="D79" s="230"/>
    </row>
    <row r="80" spans="3:4">
      <c r="C80" s="230"/>
      <c r="D80" s="230"/>
    </row>
    <row r="81" spans="3:4">
      <c r="C81" s="230"/>
      <c r="D81" s="230"/>
    </row>
    <row r="82" spans="3:4">
      <c r="C82" s="230"/>
      <c r="D82" s="230"/>
    </row>
    <row r="83" spans="3:4">
      <c r="C83" s="230"/>
      <c r="D83" s="230"/>
    </row>
    <row r="84" spans="3:4">
      <c r="C84" s="230"/>
      <c r="D84" s="230"/>
    </row>
    <row r="85" spans="3:4">
      <c r="C85" s="230"/>
      <c r="D85" s="230"/>
    </row>
    <row r="88" spans="3:4">
      <c r="C88" s="230"/>
      <c r="D88" s="230"/>
    </row>
  </sheetData>
  <pageMargins left="0.7" right="0.7" top="0.75" bottom="0.75" header="0.3" footer="0.3"/>
  <pageSetup orientation="portrait" horizontalDpi="4294967293" verticalDpi="0" r:id="rId1"/>
  <tableParts count="1">
    <tablePart r:id="rId2"/>
  </tableParts>
</worksheet>
</file>

<file path=xl/worksheets/sheet5.xml><?xml version="1.0" encoding="utf-8"?>
<worksheet xmlns="http://schemas.openxmlformats.org/spreadsheetml/2006/main" xmlns:r="http://schemas.openxmlformats.org/officeDocument/2006/relationships">
  <dimension ref="A1:I68"/>
  <sheetViews>
    <sheetView showGridLines="0" workbookViewId="0">
      <selection activeCell="A6" sqref="A6:I20"/>
    </sheetView>
  </sheetViews>
  <sheetFormatPr defaultColWidth="16.42578125" defaultRowHeight="12.75"/>
  <cols>
    <col min="1" max="1" width="40" style="15" bestFit="1" customWidth="1"/>
    <col min="2" max="2" width="17.7109375" style="32" bestFit="1" customWidth="1"/>
    <col min="3" max="3" width="10.42578125" style="15" customWidth="1"/>
    <col min="4" max="4" width="17.7109375" style="32" bestFit="1" customWidth="1"/>
    <col min="5" max="5" width="10.42578125" style="15" customWidth="1"/>
    <col min="6" max="6" width="17.7109375" style="32" bestFit="1" customWidth="1"/>
    <col min="7" max="7" width="10.42578125" style="15" customWidth="1"/>
    <col min="8" max="8" width="17.7109375" style="32" bestFit="1" customWidth="1"/>
    <col min="9" max="9" width="10.42578125" style="15" customWidth="1"/>
    <col min="10" max="10" width="3.7109375" style="15" customWidth="1"/>
    <col min="11" max="11" width="24.42578125" style="15" bestFit="1" customWidth="1"/>
    <col min="12" max="12" width="17.7109375" style="15" bestFit="1" customWidth="1"/>
    <col min="13" max="13" width="5.7109375" style="15" bestFit="1" customWidth="1"/>
    <col min="14" max="14" width="17.7109375" style="15" bestFit="1" customWidth="1"/>
    <col min="15" max="15" width="5.7109375" style="15" bestFit="1" customWidth="1"/>
    <col min="16" max="16" width="17.7109375" style="15" bestFit="1" customWidth="1"/>
    <col min="17" max="17" width="5.7109375" style="15" bestFit="1" customWidth="1"/>
    <col min="18" max="18" width="17.7109375" style="15" bestFit="1" customWidth="1"/>
    <col min="19" max="19" width="5.7109375" style="15" bestFit="1" customWidth="1"/>
    <col min="20" max="16384" width="16.42578125" style="15"/>
  </cols>
  <sheetData>
    <row r="1" spans="1:9">
      <c r="A1" s="18"/>
      <c r="B1" s="140"/>
      <c r="C1" s="18"/>
      <c r="D1" s="140"/>
      <c r="E1" s="18"/>
      <c r="F1" s="140"/>
      <c r="G1" s="18"/>
      <c r="H1" s="140"/>
      <c r="I1" s="18"/>
    </row>
    <row r="2" spans="1:9">
      <c r="A2" s="20" t="s">
        <v>193</v>
      </c>
      <c r="B2" s="33"/>
      <c r="C2" s="20"/>
      <c r="D2" s="33"/>
      <c r="E2" s="20"/>
      <c r="F2" s="33"/>
      <c r="G2" s="20"/>
      <c r="H2" s="33"/>
      <c r="I2" s="20"/>
    </row>
    <row r="3" spans="1:9">
      <c r="A3" s="20" t="s">
        <v>125</v>
      </c>
      <c r="B3" s="33"/>
      <c r="C3" s="20"/>
      <c r="D3" s="33"/>
      <c r="E3" s="20"/>
      <c r="F3" s="33"/>
      <c r="G3" s="20"/>
      <c r="H3" s="33"/>
      <c r="I3" s="20"/>
    </row>
    <row r="4" spans="1:9">
      <c r="A4" s="22" t="s">
        <v>16</v>
      </c>
      <c r="B4" s="34"/>
      <c r="C4" s="22"/>
      <c r="D4" s="34"/>
      <c r="E4" s="22"/>
      <c r="F4" s="34"/>
      <c r="G4" s="22"/>
      <c r="H4" s="34"/>
      <c r="I4" s="22"/>
    </row>
    <row r="5" spans="1:9" ht="15">
      <c r="A5"/>
      <c r="B5"/>
      <c r="C5"/>
      <c r="D5"/>
      <c r="E5"/>
      <c r="F5"/>
      <c r="G5"/>
      <c r="H5"/>
      <c r="I5"/>
    </row>
    <row r="6" spans="1:9">
      <c r="A6" s="254"/>
      <c r="B6" s="255">
        <f>+'1.Estado Situación'!B7</f>
        <v>39721</v>
      </c>
      <c r="C6" s="255"/>
      <c r="D6" s="255">
        <f>+'1.Estado Situación'!C7</f>
        <v>40086</v>
      </c>
      <c r="E6" s="255"/>
      <c r="F6" s="255">
        <f>+'1.Estado Situación'!D7</f>
        <v>40451</v>
      </c>
      <c r="G6" s="255"/>
      <c r="H6" s="255">
        <f>+'1.Estado Situación'!E7</f>
        <v>40816</v>
      </c>
      <c r="I6" s="255"/>
    </row>
    <row r="7" spans="1:9">
      <c r="A7" s="275" t="s">
        <v>21</v>
      </c>
      <c r="B7" s="256"/>
      <c r="C7" s="257"/>
      <c r="D7" s="256"/>
      <c r="E7" s="257"/>
      <c r="F7" s="256"/>
      <c r="G7" s="257"/>
      <c r="H7" s="256"/>
      <c r="I7" s="257"/>
    </row>
    <row r="8" spans="1:9">
      <c r="A8" s="258" t="str">
        <f>+'1.Estado Situación'!A9</f>
        <v xml:space="preserve">Caja, bancos </v>
      </c>
      <c r="B8" s="26">
        <f>+'1.Estado Situación'!B9</f>
        <v>385891272.51999998</v>
      </c>
      <c r="C8" s="259">
        <f>+'4.A. Vertical'!$B8/$B$20</f>
        <v>6.2120543777491481E-2</v>
      </c>
      <c r="D8" s="26">
        <f>+'1.Estado Situación'!C9</f>
        <v>149304921.47999999</v>
      </c>
      <c r="E8" s="259">
        <f>+'4.A. Vertical'!$D8/$D$20</f>
        <v>2.5578721677890649E-2</v>
      </c>
      <c r="F8" s="26">
        <f>+'1.Estado Situación'!D9</f>
        <v>115380231.62666667</v>
      </c>
      <c r="G8" s="259">
        <f>+'4.A. Vertical'!$F8/$F$20</f>
        <v>2.1145830341733136E-2</v>
      </c>
      <c r="H8" s="26">
        <f>+'1.Estado Situación'!E9</f>
        <v>101830859.86666667</v>
      </c>
      <c r="I8" s="259">
        <f>+'4.A. Vertical'!$H8/$H$20</f>
        <v>1.8675708307057563E-2</v>
      </c>
    </row>
    <row r="9" spans="1:9">
      <c r="A9" s="258" t="str">
        <f>+'1.Estado Situación'!A10</f>
        <v>Inversiones transitorias</v>
      </c>
      <c r="B9" s="26">
        <f>+'1.Estado Situación'!B10</f>
        <v>903223.29333333333</v>
      </c>
      <c r="C9" s="259">
        <f>+'4.A. Vertical'!$B9/$B$20</f>
        <v>1.4540033975879918E-4</v>
      </c>
      <c r="D9" s="26">
        <f>+'1.Estado Situación'!C10</f>
        <v>3694852.5333333332</v>
      </c>
      <c r="E9" s="259">
        <f>+'4.A. Vertical'!$D9/$D$20</f>
        <v>6.3299724921420271E-4</v>
      </c>
      <c r="F9" s="26">
        <f>+'1.Estado Situación'!D10</f>
        <v>4020141.9333333336</v>
      </c>
      <c r="G9" s="259">
        <f>+'4.A. Vertical'!$F9/$F$20</f>
        <v>7.3677473232170549E-4</v>
      </c>
      <c r="H9" s="26">
        <f>+'1.Estado Situación'!E10</f>
        <v>21053786.413333334</v>
      </c>
      <c r="I9" s="259">
        <f>+'4.A. Vertical'!$H9/$H$20</f>
        <v>3.861249667628637E-3</v>
      </c>
    </row>
    <row r="10" spans="1:9">
      <c r="A10" s="258" t="str">
        <f>+'1.Estado Situación'!A11</f>
        <v>Cuentas por cobrar comerciales</v>
      </c>
      <c r="B10" s="26">
        <f>+'1.Estado Situación'!B11</f>
        <v>1252786094.5933335</v>
      </c>
      <c r="C10" s="259">
        <f>+'4.A. Vertical'!$B10/$B$20</f>
        <v>0.20167274819355835</v>
      </c>
      <c r="D10" s="26">
        <f>+'1.Estado Situación'!C11</f>
        <v>1531339660.2266667</v>
      </c>
      <c r="E10" s="259">
        <f>+'4.A. Vertical'!$D10/$D$20</f>
        <v>0.26234708524662054</v>
      </c>
      <c r="F10" s="26">
        <f>+'1.Estado Situación'!D11</f>
        <v>1618872422.8933334</v>
      </c>
      <c r="G10" s="259">
        <f>+'4.A. Vertical'!$F10/$F$20</f>
        <v>0.29669208595609281</v>
      </c>
      <c r="H10" s="26">
        <f>+'1.Estado Situación'!E11</f>
        <v>747456943.57999992</v>
      </c>
      <c r="I10" s="259">
        <f>+'4.A. Vertical'!$H10/$H$20</f>
        <v>0.13708307941877937</v>
      </c>
    </row>
    <row r="11" spans="1:9">
      <c r="A11" s="258" t="str">
        <f>+'1.Estado Situación'!A12</f>
        <v>Cuentas por cobrar varias</v>
      </c>
      <c r="B11" s="26">
        <f>+'1.Estado Situación'!B12</f>
        <v>286806686.93333334</v>
      </c>
      <c r="C11" s="259">
        <f>+'4.A. Vertical'!$B11/$B$20</f>
        <v>4.6169967086768016E-2</v>
      </c>
      <c r="D11" s="26">
        <f>+'1.Estado Situación'!C12</f>
        <v>294488850.02000004</v>
      </c>
      <c r="E11" s="259">
        <f>+'4.A. Vertical'!$D11/$D$20</f>
        <v>5.0451440295708493E-2</v>
      </c>
      <c r="F11" s="26">
        <f>+'1.Estado Situación'!D12</f>
        <v>275638466.06</v>
      </c>
      <c r="G11" s="259">
        <f>+'4.A. Vertical'!$F11/$F$20</f>
        <v>5.0516489322190099E-2</v>
      </c>
      <c r="H11" s="26">
        <f>+'1.Estado Situación'!E12</f>
        <v>225056597.3066667</v>
      </c>
      <c r="I11" s="259">
        <f>+'4.A. Vertical'!$H11/$H$20</f>
        <v>4.1275222161352529E-2</v>
      </c>
    </row>
    <row r="12" spans="1:9">
      <c r="A12" s="277" t="str">
        <f>+'1.Estado Situación'!A13</f>
        <v>Inventario</v>
      </c>
      <c r="B12" s="145">
        <f>+'1.Estado Situación'!B13</f>
        <v>1793636044.9399998</v>
      </c>
      <c r="C12" s="259">
        <f>+'4.A. Vertical'!$B12/$B$20</f>
        <v>0.28873844625446193</v>
      </c>
      <c r="D12" s="145">
        <f>+'1.Estado Situación'!C13</f>
        <v>1223375514.4333334</v>
      </c>
      <c r="E12" s="259">
        <f>+'4.A. Vertical'!$D12/$D$20</f>
        <v>0.20958707510139427</v>
      </c>
      <c r="F12" s="145">
        <f>+'1.Estado Situación'!D13</f>
        <v>1022353000.34</v>
      </c>
      <c r="G12" s="259">
        <f>+'4.A. Vertical'!$F12/$F$20</f>
        <v>0.18736747872462248</v>
      </c>
      <c r="H12" s="145">
        <f>+'1.Estado Situación'!E13</f>
        <v>1103694669.8199999</v>
      </c>
      <c r="I12" s="259">
        <f>+'4.A. Vertical'!$H12/$H$20</f>
        <v>0.20241682865686725</v>
      </c>
    </row>
    <row r="13" spans="1:9" ht="13.5" thickBot="1">
      <c r="A13" s="276" t="s">
        <v>18</v>
      </c>
      <c r="B13" s="158">
        <f>+'1.Estado Situación'!B14</f>
        <v>17865641.526666667</v>
      </c>
      <c r="C13" s="263">
        <f>+'4.A. Vertical'!$B13/$B$20</f>
        <v>2.8760001731128722E-3</v>
      </c>
      <c r="D13" s="158">
        <f>+'1.Estado Situación'!C14</f>
        <v>27037152.099999998</v>
      </c>
      <c r="E13" s="263">
        <f>+'4.A. Vertical'!$D13/$D$20</f>
        <v>4.6319691385480286E-3</v>
      </c>
      <c r="F13" s="158">
        <f>+'1.Estado Situación'!D14</f>
        <v>28655074.986666664</v>
      </c>
      <c r="G13" s="263">
        <f>+'4.A. Vertical'!$F13/$F$20</f>
        <v>5.2516392587796685E-3</v>
      </c>
      <c r="H13" s="158">
        <f>+'1.Estado Situación'!E14</f>
        <v>22215407.233333334</v>
      </c>
      <c r="I13" s="263">
        <f>+'4.A. Vertical'!$H13/$H$20</f>
        <v>4.0742901116171334E-3</v>
      </c>
    </row>
    <row r="14" spans="1:9" ht="13.5" thickTop="1">
      <c r="A14" s="264" t="s">
        <v>24</v>
      </c>
      <c r="B14" s="29">
        <f>SUM(B8:B13)</f>
        <v>3737888963.8066664</v>
      </c>
      <c r="C14" s="259">
        <f>+'4.A. Vertical'!$B14/$B$20</f>
        <v>0.60172310582515143</v>
      </c>
      <c r="D14" s="29">
        <f>SUM(D8:D13)</f>
        <v>3229240950.7933335</v>
      </c>
      <c r="E14" s="259">
        <f>+'4.A. Vertical'!$D14/$D$20</f>
        <v>0.55322928870937615</v>
      </c>
      <c r="F14" s="29">
        <f>SUM(F8:F13)</f>
        <v>3064919337.8400002</v>
      </c>
      <c r="G14" s="259">
        <f>+'4.A. Vertical'!$F14/$F$20</f>
        <v>0.56171029833573993</v>
      </c>
      <c r="H14" s="29">
        <f>SUM(H8:H13)</f>
        <v>2221308264.2199998</v>
      </c>
      <c r="I14" s="259">
        <f>+'4.A. Vertical'!$H14/$H$20</f>
        <v>0.40738637832330249</v>
      </c>
    </row>
    <row r="15" spans="1:9">
      <c r="A15" s="260"/>
      <c r="B15" s="26"/>
      <c r="C15" s="259"/>
      <c r="D15" s="26"/>
      <c r="E15" s="259"/>
      <c r="F15" s="26"/>
      <c r="G15" s="259"/>
      <c r="H15" s="26"/>
      <c r="I15" s="259"/>
    </row>
    <row r="16" spans="1:9">
      <c r="A16" s="264" t="s">
        <v>20</v>
      </c>
      <c r="B16" s="26"/>
      <c r="C16" s="259"/>
      <c r="D16" s="26"/>
      <c r="E16" s="259"/>
      <c r="F16" s="26"/>
      <c r="G16" s="259"/>
      <c r="H16" s="26"/>
      <c r="I16" s="259"/>
    </row>
    <row r="17" spans="1:9">
      <c r="A17" s="260" t="s">
        <v>19</v>
      </c>
      <c r="B17" s="26">
        <f>+'1.Estado Situación'!B18</f>
        <v>2213537589.9533334</v>
      </c>
      <c r="C17" s="259">
        <f>+'4.A. Vertical'!$B17/$B$20</f>
        <v>0.35633394313858796</v>
      </c>
      <c r="D17" s="26">
        <f>+'1.Estado Situación'!C18</f>
        <v>2219500630.3933334</v>
      </c>
      <c r="E17" s="259">
        <f>+'4.A. Vertical'!$D17/$D$20</f>
        <v>0.38024191249676098</v>
      </c>
      <c r="F17" s="26">
        <f>+'1.Estado Situación'!D18</f>
        <v>2186838729.4200001</v>
      </c>
      <c r="G17" s="259">
        <f>+'4.A. Vertical'!$F17/$F$20</f>
        <v>0.40078374003158967</v>
      </c>
      <c r="H17" s="26">
        <f>+'1.Estado Situación'!E18</f>
        <v>2213567028.2733331</v>
      </c>
      <c r="I17" s="259">
        <f>+'4.A. Vertical'!$H17/$H$20</f>
        <v>0.40596664107797864</v>
      </c>
    </row>
    <row r="18" spans="1:9">
      <c r="A18" s="266" t="s">
        <v>30</v>
      </c>
      <c r="B18" s="144">
        <f>+'1.Estado Situación'!B19</f>
        <v>260548568.38666669</v>
      </c>
      <c r="C18" s="267">
        <f>+'4.A. Vertical'!$B18/$B$20</f>
        <v>4.1942951036260612E-2</v>
      </c>
      <c r="D18" s="144">
        <f>+'1.Estado Situación'!C19</f>
        <v>388333600.29333335</v>
      </c>
      <c r="E18" s="267">
        <f>+'4.A. Vertical'!$D18/$D$20</f>
        <v>6.6528798793862837E-2</v>
      </c>
      <c r="F18" s="144">
        <f>+'1.Estado Situación'!D19</f>
        <v>204647747.12666667</v>
      </c>
      <c r="G18" s="267">
        <f>+'4.A. Vertical'!$F18/$F$20</f>
        <v>3.7505961632670524E-2</v>
      </c>
      <c r="H18" s="144">
        <f>+'1.Estado Situación'!E19</f>
        <v>1017708255.7400001</v>
      </c>
      <c r="I18" s="267">
        <f>+'4.A. Vertical'!$H18/$H$20</f>
        <v>0.18664698059871876</v>
      </c>
    </row>
    <row r="19" spans="1:9" ht="13.5" thickBot="1">
      <c r="A19" s="261" t="s">
        <v>23</v>
      </c>
      <c r="B19" s="262">
        <f>+'1.Estado Situación'!B20</f>
        <v>2474086158.3399997</v>
      </c>
      <c r="C19" s="263">
        <f>+'4.A. Vertical'!$B19/$B$20</f>
        <v>0.39827689417484852</v>
      </c>
      <c r="D19" s="262">
        <f>+'1.Estado Situación'!C20</f>
        <v>2607834230.686667</v>
      </c>
      <c r="E19" s="263">
        <f>+'4.A. Vertical'!$D19/$D$20</f>
        <v>0.44677071129062385</v>
      </c>
      <c r="F19" s="262">
        <f>+'1.Estado Situación'!D20</f>
        <v>2391486476.5466666</v>
      </c>
      <c r="G19" s="263">
        <f>+'4.A. Vertical'!$F19/$F$20</f>
        <v>0.43828970166426018</v>
      </c>
      <c r="H19" s="262">
        <f>+'1.Estado Situación'!E20</f>
        <v>3231275284.0133338</v>
      </c>
      <c r="I19" s="263">
        <f>+'4.A. Vertical'!$H19/$H$20</f>
        <v>0.59261362167669751</v>
      </c>
    </row>
    <row r="20" spans="1:9" ht="13.5" thickTop="1">
      <c r="A20" s="264" t="s">
        <v>22</v>
      </c>
      <c r="B20" s="29">
        <f>+'1.Estado Situación'!B21</f>
        <v>6211975122.1466665</v>
      </c>
      <c r="C20" s="259">
        <f>+'4.A. Vertical'!$B20/$B$20</f>
        <v>1</v>
      </c>
      <c r="D20" s="29">
        <f>+'1.Estado Situación'!C21</f>
        <v>5837075181.4800005</v>
      </c>
      <c r="E20" s="259">
        <f>+'4.A. Vertical'!$D20/$D$20</f>
        <v>1</v>
      </c>
      <c r="F20" s="29">
        <f>+'1.Estado Situación'!D21</f>
        <v>5456405814.3866663</v>
      </c>
      <c r="G20" s="259">
        <f>+'4.A. Vertical'!$F20/$F$20</f>
        <v>1</v>
      </c>
      <c r="H20" s="29">
        <f>+'1.Estado Situación'!E21</f>
        <v>5452583548.2333336</v>
      </c>
      <c r="I20" s="259">
        <f>+'4.A. Vertical'!$H20/$H$20</f>
        <v>1</v>
      </c>
    </row>
    <row r="21" spans="1:9">
      <c r="A21" s="260"/>
      <c r="B21" s="26"/>
      <c r="C21" s="259"/>
      <c r="D21" s="26"/>
      <c r="E21" s="259"/>
      <c r="F21" s="26"/>
      <c r="G21" s="259"/>
      <c r="H21" s="26"/>
      <c r="I21" s="259"/>
    </row>
    <row r="22" spans="1:9">
      <c r="A22" s="260" t="s">
        <v>25</v>
      </c>
      <c r="B22" s="26">
        <f>+'1.Estado Situación'!B23</f>
        <v>2102845788.54</v>
      </c>
      <c r="C22" s="259">
        <f>+'4.A. Vertical'!$B22/$B$44</f>
        <v>0.33851484386069486</v>
      </c>
      <c r="D22" s="26">
        <f>+'1.Estado Situación'!C23</f>
        <v>1794018901.5266666</v>
      </c>
      <c r="E22" s="259">
        <f>+'4.A. Vertical'!$D22/$D$44</f>
        <v>0.30734894544767372</v>
      </c>
      <c r="F22" s="26">
        <f>+'1.Estado Situación'!D23</f>
        <v>1518609648.5666666</v>
      </c>
      <c r="G22" s="259">
        <f>+'4.A. Vertical'!$F22/$F$44</f>
        <v>0.2783168444991051</v>
      </c>
      <c r="H22" s="26">
        <f>+'1.Estado Situación'!E23</f>
        <v>1846115543.3933334</v>
      </c>
      <c r="I22" s="259">
        <f>+'4.A. Vertical'!$H22/$H$44</f>
        <v>0.33857629636715697</v>
      </c>
    </row>
    <row r="23" spans="1:9">
      <c r="A23" s="260" t="s">
        <v>26</v>
      </c>
      <c r="B23" s="26">
        <f>+'1.Estado Situación'!B24</f>
        <v>58834409.82</v>
      </c>
      <c r="C23" s="259">
        <f>+'4.A. Vertical'!$B23/$B$44</f>
        <v>9.4711277271935755E-3</v>
      </c>
      <c r="D23" s="26">
        <f>+'1.Estado Situación'!C24</f>
        <v>46714232.100000001</v>
      </c>
      <c r="E23" s="259">
        <f>+'4.A. Vertical'!$D23/$D$44</f>
        <v>8.0030204593245502E-3</v>
      </c>
      <c r="F23" s="26">
        <f>+'1.Estado Situación'!D24</f>
        <v>48688929.620000005</v>
      </c>
      <c r="G23" s="259">
        <f>+'4.A. Vertical'!$F23/$F$44</f>
        <v>8.9232603432142163E-3</v>
      </c>
      <c r="H23" s="26">
        <f>+'1.Estado Situación'!E24</f>
        <v>28745245.713333335</v>
      </c>
      <c r="I23" s="259">
        <f>+'4.A. Vertical'!$H23/$H$44</f>
        <v>5.2718579108516272E-3</v>
      </c>
    </row>
    <row r="24" spans="1:9">
      <c r="A24" s="260" t="s">
        <v>28</v>
      </c>
      <c r="B24" s="26">
        <f>+'1.Estado Situación'!B25</f>
        <v>12411795.159999998</v>
      </c>
      <c r="C24" s="259">
        <f>+'4.A. Vertical'!$B24/$B$44</f>
        <v>1.9980432818782544E-3</v>
      </c>
      <c r="D24" s="26">
        <f>+'1.Estado Situación'!C25</f>
        <v>10811230.393333333</v>
      </c>
      <c r="E24" s="259">
        <f>+'4.A. Vertical'!$D24/$D$44</f>
        <v>1.852165692097892E-3</v>
      </c>
      <c r="F24" s="26">
        <f>+'1.Estado Situación'!D25</f>
        <v>13211948.406666666</v>
      </c>
      <c r="G24" s="259">
        <f>+'4.A. Vertical'!$F24/$F$44</f>
        <v>2.4213646961212636E-3</v>
      </c>
      <c r="H24" s="26">
        <f>+'1.Estado Situación'!E25</f>
        <v>25359242.34</v>
      </c>
      <c r="I24" s="259">
        <f>+'4.A. Vertical'!$H24/$H$44</f>
        <v>4.6508672660717926E-3</v>
      </c>
    </row>
    <row r="25" spans="1:9">
      <c r="A25" s="260" t="s">
        <v>29</v>
      </c>
      <c r="B25" s="26">
        <f>+'1.Estado Situación'!B26</f>
        <v>22519200.986666664</v>
      </c>
      <c r="C25" s="259">
        <f>+'4.A. Vertical'!$B25/$B$44</f>
        <v>3.6251273618888419E-3</v>
      </c>
      <c r="D25" s="26">
        <f>+'1.Estado Situación'!C26</f>
        <v>19564510.300000001</v>
      </c>
      <c r="E25" s="259">
        <f>+'4.A. Vertical'!$D25/$D$44</f>
        <v>3.3517660286567336E-3</v>
      </c>
      <c r="F25" s="26">
        <f>+'1.Estado Situación'!D26</f>
        <v>21238291.140000001</v>
      </c>
      <c r="G25" s="259">
        <f>+'4.A. Vertical'!$F25/$F$44</f>
        <v>3.8923591577448161E-3</v>
      </c>
      <c r="H25" s="26">
        <f>+'1.Estado Situación'!E26</f>
        <v>21719457.153333332</v>
      </c>
      <c r="I25" s="259">
        <f>+'4.A. Vertical'!$H25/$H$44</f>
        <v>3.9833332146502467E-3</v>
      </c>
    </row>
    <row r="26" spans="1:9">
      <c r="A26" s="260" t="s">
        <v>238</v>
      </c>
      <c r="B26" s="26">
        <f>+'1.Estado Situación'!B27</f>
        <v>70055319.700000003</v>
      </c>
      <c r="C26" s="259">
        <f>+'4.A. Vertical'!$B26/$B$44</f>
        <v>1.1277463016592224E-2</v>
      </c>
      <c r="D26" s="26">
        <f>+'1.Estado Situación'!C27</f>
        <v>9808092.9133333322</v>
      </c>
      <c r="E26" s="259">
        <f>+'4.A. Vertical'!$D26/$D$44</f>
        <v>1.6803095057697159E-3</v>
      </c>
      <c r="F26" s="26">
        <f>+'1.Estado Situación'!D27</f>
        <v>151696503.13333333</v>
      </c>
      <c r="G26" s="259">
        <f>+'4.A. Vertical'!$F26/$F$44</f>
        <v>2.7801543414047725E-2</v>
      </c>
      <c r="H26" s="26">
        <f>+'1.Estado Situación'!E27</f>
        <v>57496381.733333327</v>
      </c>
      <c r="I26" s="259">
        <f>+'4.A. Vertical'!$H26/$H$44</f>
        <v>1.0544796099816291E-2</v>
      </c>
    </row>
    <row r="27" spans="1:9">
      <c r="A27" s="260" t="s">
        <v>32</v>
      </c>
      <c r="B27" s="26">
        <f>+'1.Estado Situación'!B28</f>
        <v>69011109.239999995</v>
      </c>
      <c r="C27" s="259">
        <f>+'4.A. Vertical'!$B27/$B$44</f>
        <v>1.1109366647970714E-2</v>
      </c>
      <c r="D27" s="26">
        <f>+'1.Estado Situación'!C28</f>
        <v>70052906.833333328</v>
      </c>
      <c r="E27" s="259">
        <f>+'4.A. Vertical'!$D27/$D$44</f>
        <v>1.20013713470059E-2</v>
      </c>
      <c r="F27" s="26">
        <f>+'1.Estado Situación'!D28</f>
        <v>63574418.259999998</v>
      </c>
      <c r="G27" s="259">
        <f>+'4.A. Vertical'!$F27/$F$44</f>
        <v>1.1651336140060571E-2</v>
      </c>
      <c r="H27" s="26">
        <f>+'1.Estado Situación'!E28</f>
        <v>59637301.600000001</v>
      </c>
      <c r="I27" s="259">
        <f>+'4.A. Vertical'!$H27/$H$44</f>
        <v>1.093743930238773E-2</v>
      </c>
    </row>
    <row r="28" spans="1:9">
      <c r="A28" s="266" t="s">
        <v>34</v>
      </c>
      <c r="B28" s="144">
        <f>+'1.Estado Situación'!B29</f>
        <v>125023120.87333333</v>
      </c>
      <c r="C28" s="267">
        <f>+'4.A. Vertical'!$B28/$B$44</f>
        <v>2.0126146421225396E-2</v>
      </c>
      <c r="D28" s="144">
        <f>+'1.Estado Situación'!C29</f>
        <v>99267743.206666663</v>
      </c>
      <c r="E28" s="267">
        <f>+'4.A. Vertical'!$D28/$D$44</f>
        <v>1.7006418475065309E-2</v>
      </c>
      <c r="F28" s="144">
        <f>+'1.Estado Situación'!D29</f>
        <v>103463975.33333333</v>
      </c>
      <c r="G28" s="267">
        <f>+'4.A. Vertical'!$F28/$F$44</f>
        <v>1.8961928209323142E-2</v>
      </c>
      <c r="H28" s="144">
        <f>+'1.Estado Situación'!E29</f>
        <v>122545521.2</v>
      </c>
      <c r="I28" s="267">
        <f>+'4.A. Vertical'!$H28/$H$44</f>
        <v>2.2474762672771043E-2</v>
      </c>
    </row>
    <row r="29" spans="1:9" ht="13.5" thickBot="1">
      <c r="A29" s="261" t="s">
        <v>42</v>
      </c>
      <c r="B29" s="262">
        <f>+'1.Estado Situación'!B30</f>
        <v>2460700744.3200002</v>
      </c>
      <c r="C29" s="263">
        <f>+'4.A. Vertical'!$B29/$B$44</f>
        <v>0.39612211831744387</v>
      </c>
      <c r="D29" s="262">
        <f>+'1.Estado Situación'!C30</f>
        <v>2050237617.2733333</v>
      </c>
      <c r="E29" s="263">
        <f>+'4.A. Vertical'!$D29/$D$44</f>
        <v>0.35124399695559383</v>
      </c>
      <c r="F29" s="262">
        <f>+'1.Estado Situación'!D30</f>
        <v>1920483714.4599998</v>
      </c>
      <c r="G29" s="263">
        <f>+'4.A. Vertical'!$F29/$F$44</f>
        <v>0.35196863645961679</v>
      </c>
      <c r="H29" s="262">
        <f>+'1.Estado Situación'!E30</f>
        <v>2161618693.1333337</v>
      </c>
      <c r="I29" s="263">
        <f>+'4.A. Vertical'!$H29/$H$44</f>
        <v>0.39643935283370574</v>
      </c>
    </row>
    <row r="30" spans="1:9" ht="13.5" hidden="1" thickTop="1">
      <c r="A30" s="264" t="s">
        <v>35</v>
      </c>
      <c r="B30" s="29">
        <f>+'1.Estado Situación'!B31</f>
        <v>3751274377.8266664</v>
      </c>
      <c r="C30" s="265"/>
      <c r="D30" s="29">
        <f>+'1.Estado Situación'!C31</f>
        <v>3786837564.2066674</v>
      </c>
      <c r="E30" s="265"/>
      <c r="F30" s="29">
        <f>+'1.Estado Situación'!D31</f>
        <v>3535922099.9266667</v>
      </c>
      <c r="G30" s="265"/>
      <c r="H30" s="29">
        <f>+'1.Estado Situación'!E31</f>
        <v>3290964855.0999999</v>
      </c>
      <c r="I30" s="265"/>
    </row>
    <row r="31" spans="1:9" ht="13.5" thickTop="1">
      <c r="A31" s="260"/>
      <c r="B31" s="26"/>
      <c r="C31" s="268"/>
      <c r="D31" s="26"/>
      <c r="E31" s="268"/>
      <c r="F31" s="26"/>
      <c r="G31" s="268"/>
      <c r="H31" s="26"/>
      <c r="I31" s="268"/>
    </row>
    <row r="32" spans="1:9">
      <c r="A32" s="260" t="s">
        <v>27</v>
      </c>
      <c r="B32" s="26">
        <f>+'1.Estado Situación'!B33</f>
        <v>1171019031</v>
      </c>
      <c r="C32" s="259">
        <f>+'4.A. Vertical'!$B32/$B$44</f>
        <v>0.18850993572481209</v>
      </c>
      <c r="D32" s="26">
        <f>+'1.Estado Situación'!C33</f>
        <v>1195345549.8999999</v>
      </c>
      <c r="E32" s="259">
        <f>+'4.A. Vertical'!$D32/$D$44</f>
        <v>0.20478501864985713</v>
      </c>
      <c r="F32" s="26">
        <f>+'1.Estado Situación'!D33</f>
        <v>662288184.38</v>
      </c>
      <c r="G32" s="259">
        <f>+'4.A. Vertical'!$F32/$F$44</f>
        <v>0.12137810252928287</v>
      </c>
      <c r="H32" s="26">
        <f>+'1.Estado Situación'!E33</f>
        <v>219476738.86666667</v>
      </c>
      <c r="I32" s="259">
        <f>+'4.A. Vertical'!$H32/$H$44</f>
        <v>4.0251880035433535E-2</v>
      </c>
    </row>
    <row r="33" spans="1:9">
      <c r="A33" s="260" t="s">
        <v>33</v>
      </c>
      <c r="B33" s="26">
        <f>+'1.Estado Situación'!B34</f>
        <v>560762147.81333339</v>
      </c>
      <c r="C33" s="259">
        <f>+'4.A. Vertical'!$B33/$B$44</f>
        <v>9.0271151572086664E-2</v>
      </c>
      <c r="D33" s="26">
        <f>+'1.Estado Situación'!C34</f>
        <v>490189443.28666663</v>
      </c>
      <c r="E33" s="259">
        <f>+'4.A. Vertical'!$D33/$D$44</f>
        <v>8.3978607101369965E-2</v>
      </c>
      <c r="F33" s="26">
        <f>+'1.Estado Situación'!D34</f>
        <v>760886293.36000001</v>
      </c>
      <c r="G33" s="259">
        <f>+'4.A. Vertical'!$F33/$F$44</f>
        <v>0.13944825939335459</v>
      </c>
      <c r="H33" s="26">
        <f>+'1.Estado Situación'!E34</f>
        <v>909760133.19999993</v>
      </c>
      <c r="I33" s="259">
        <f>+'4.A. Vertical'!$H33/$H$44</f>
        <v>0.16684937060611701</v>
      </c>
    </row>
    <row r="34" spans="1:9">
      <c r="A34" s="266" t="s">
        <v>31</v>
      </c>
      <c r="B34" s="144">
        <f>+'1.Estado Situación'!B35</f>
        <v>0</v>
      </c>
      <c r="C34" s="267">
        <f>+'4.A. Vertical'!$B34/$B$44</f>
        <v>0</v>
      </c>
      <c r="D34" s="144">
        <f>+'1.Estado Situación'!C35</f>
        <v>0</v>
      </c>
      <c r="E34" s="267">
        <f>+'4.A. Vertical'!$D34/$D$44</f>
        <v>0</v>
      </c>
      <c r="F34" s="144">
        <f>+'1.Estado Situación'!D35</f>
        <v>0</v>
      </c>
      <c r="G34" s="267">
        <f>+'4.A. Vertical'!$F34/$F$44</f>
        <v>0</v>
      </c>
      <c r="H34" s="144">
        <f>+'1.Estado Situación'!E35</f>
        <v>78671798.926666662</v>
      </c>
      <c r="I34" s="267">
        <f>+'4.A. Vertical'!$H34/$H$44</f>
        <v>1.4428352767222935E-2</v>
      </c>
    </row>
    <row r="35" spans="1:9" ht="13.5" thickBot="1">
      <c r="A35" s="261" t="s">
        <v>36</v>
      </c>
      <c r="B35" s="262">
        <f>+'1.Estado Situación'!B36</f>
        <v>1731781178.8133335</v>
      </c>
      <c r="C35" s="263">
        <f>+'4.A. Vertical'!$B35/$B$44</f>
        <v>0.27878108729689877</v>
      </c>
      <c r="D35" s="262">
        <f>+'1.Estado Situación'!C36</f>
        <v>1685534993.1866665</v>
      </c>
      <c r="E35" s="263">
        <f>+'4.A. Vertical'!$D35/$D$44</f>
        <v>0.2887636257512271</v>
      </c>
      <c r="F35" s="262">
        <f>+'1.Estado Situación'!D36</f>
        <v>1423174477.74</v>
      </c>
      <c r="G35" s="263">
        <f>+'4.A. Vertical'!$F35/$F$44</f>
        <v>0.26082636192263747</v>
      </c>
      <c r="H35" s="262">
        <f>+'1.Estado Situación'!E36</f>
        <v>1207908670.9933333</v>
      </c>
      <c r="I35" s="263">
        <f>+'4.A. Vertical'!$H35/$H$44</f>
        <v>0.22152960340877348</v>
      </c>
    </row>
    <row r="36" spans="1:9" ht="13.5" thickTop="1">
      <c r="A36" s="264" t="s">
        <v>44</v>
      </c>
      <c r="B36" s="29">
        <f>+'1.Estado Situación'!B37</f>
        <v>4192481923.1333337</v>
      </c>
      <c r="C36" s="265">
        <f>+'4.A. Vertical'!$B36/$B$44</f>
        <v>0.67490320561434269</v>
      </c>
      <c r="D36" s="29">
        <f>+'1.Estado Situación'!C37</f>
        <v>3735772610.4599996</v>
      </c>
      <c r="E36" s="265">
        <f>+'4.A. Vertical'!$D36/$D$44</f>
        <v>0.64000762270682088</v>
      </c>
      <c r="F36" s="29">
        <f>+'1.Estado Situación'!D37</f>
        <v>3343658192.1999993</v>
      </c>
      <c r="G36" s="265">
        <f>+'4.A. Vertical'!$F36/$F$44</f>
        <v>0.61279499838225415</v>
      </c>
      <c r="H36" s="29">
        <f>+'1.Estado Situación'!E37</f>
        <v>3369527364.126667</v>
      </c>
      <c r="I36" s="265">
        <f>+'4.A. Vertical'!$H36/$H$44</f>
        <v>0.61796895624247927</v>
      </c>
    </row>
    <row r="37" spans="1:9">
      <c r="A37" s="269"/>
      <c r="B37" s="26"/>
      <c r="C37" s="259"/>
      <c r="D37" s="26"/>
      <c r="E37" s="259">
        <f>+'4.A. Vertical'!$D37/$D$44</f>
        <v>0</v>
      </c>
      <c r="F37" s="26"/>
      <c r="G37" s="259">
        <f>+'4.A. Vertical'!$F37/$F$44</f>
        <v>0</v>
      </c>
      <c r="H37" s="26"/>
      <c r="I37" s="259">
        <f>+'4.A. Vertical'!$H37/$H$44</f>
        <v>0</v>
      </c>
    </row>
    <row r="38" spans="1:9">
      <c r="A38" s="264" t="s">
        <v>37</v>
      </c>
      <c r="B38" s="26"/>
      <c r="C38" s="259"/>
      <c r="D38" s="26"/>
      <c r="E38" s="259">
        <f>+'4.A. Vertical'!$D38/$D$44</f>
        <v>0</v>
      </c>
      <c r="F38" s="26"/>
      <c r="G38" s="259">
        <f>+'4.A. Vertical'!$F38/$F$44</f>
        <v>0</v>
      </c>
      <c r="H38" s="26"/>
      <c r="I38" s="259">
        <f>+'4.A. Vertical'!$H38/$H$44</f>
        <v>0</v>
      </c>
    </row>
    <row r="39" spans="1:9">
      <c r="A39" s="260" t="s">
        <v>38</v>
      </c>
      <c r="B39" s="26">
        <f>+'1.Estado Situación'!B40</f>
        <v>1182866666.6666667</v>
      </c>
      <c r="C39" s="259">
        <f>+'4.A. Vertical'!$B39/$B$44</f>
        <v>0.19041716095249017</v>
      </c>
      <c r="D39" s="26">
        <f>+'1.Estado Situación'!C40</f>
        <v>1182866666.6666667</v>
      </c>
      <c r="E39" s="259">
        <f>+'4.A. Vertical'!$D39/$D$44</f>
        <v>0.20264715287884111</v>
      </c>
      <c r="F39" s="26">
        <f>+'1.Estado Situación'!D40</f>
        <v>1182866666.6666667</v>
      </c>
      <c r="G39" s="259">
        <f>+'4.A. Vertical'!$F39/$F$44</f>
        <v>0.21678495091912958</v>
      </c>
      <c r="H39" s="26">
        <f>+'1.Estado Situación'!E40</f>
        <v>1182866666.6666667</v>
      </c>
      <c r="I39" s="259">
        <f>+'4.A. Vertical'!$H39/$H$44</f>
        <v>0.21693691737193499</v>
      </c>
    </row>
    <row r="40" spans="1:9">
      <c r="A40" s="260" t="s">
        <v>39</v>
      </c>
      <c r="B40" s="26">
        <f>+'1.Estado Situación'!B41</f>
        <v>10645789.033333333</v>
      </c>
      <c r="C40" s="259">
        <f>+'4.A. Vertical'!$B40/$B$44</f>
        <v>1.7137526831650408E-3</v>
      </c>
      <c r="D40" s="26">
        <f>+'1.Estado Situación'!C41</f>
        <v>19185853.593333334</v>
      </c>
      <c r="E40" s="259">
        <f>+'4.A. Vertical'!$D40/$D$44</f>
        <v>3.2868950624803722E-3</v>
      </c>
      <c r="F40" s="26">
        <f>+'1.Estado Situación'!D41</f>
        <v>21016297.653333332</v>
      </c>
      <c r="G40" s="259">
        <f>+'4.A. Vertical'!$F40/$F$44</f>
        <v>3.8516742281009563E-3</v>
      </c>
      <c r="H40" s="26">
        <f>+'1.Estado Situación'!E41</f>
        <v>26800753.926666666</v>
      </c>
      <c r="I40" s="259">
        <f>+'4.A. Vertical'!$H40/$H$44</f>
        <v>4.915239480438636E-3</v>
      </c>
    </row>
    <row r="41" spans="1:9">
      <c r="A41" s="260" t="s">
        <v>40</v>
      </c>
      <c r="B41" s="26">
        <f>+'1.Estado Situación'!B42</f>
        <v>730555206.85333335</v>
      </c>
      <c r="C41" s="259">
        <f>+'4.A. Vertical'!$B41/$B$44</f>
        <v>0.11760433557577996</v>
      </c>
      <c r="D41" s="26">
        <f>+'1.Estado Situación'!C42</f>
        <v>730555206.85333335</v>
      </c>
      <c r="E41" s="259">
        <f>+'4.A. Vertical'!$D41/$D$44</f>
        <v>0.12515775180886055</v>
      </c>
      <c r="F41" s="26">
        <f>+'1.Estado Situación'!D42</f>
        <v>730555206.85333335</v>
      </c>
      <c r="G41" s="259">
        <f>+'4.A. Vertical'!$F41/$F$44</f>
        <v>0.13388945611910141</v>
      </c>
      <c r="H41" s="26">
        <f>+'1.Estado Situación'!E42</f>
        <v>730555206.85333335</v>
      </c>
      <c r="I41" s="259">
        <f>+'4.A. Vertical'!$H41/$H$44</f>
        <v>0.13398331275272934</v>
      </c>
    </row>
    <row r="42" spans="1:9">
      <c r="A42" s="270" t="s">
        <v>335</v>
      </c>
      <c r="B42" s="271">
        <f>+'1.Estado Situación'!B43</f>
        <v>95425536.459999993</v>
      </c>
      <c r="C42" s="272">
        <f>+'4.A. Vertical'!$B42/$B$44</f>
        <v>1.5361545174222118E-2</v>
      </c>
      <c r="D42" s="271">
        <f>+'1.Estado Situación'!C43</f>
        <v>168694843.90666667</v>
      </c>
      <c r="E42" s="272">
        <f>+'4.A. Vertical'!$D42/$D$44</f>
        <v>2.8900577542997113E-2</v>
      </c>
      <c r="F42" s="271">
        <f>+'1.Estado Situación'!D43</f>
        <v>178309451.01333332</v>
      </c>
      <c r="G42" s="272">
        <f>+'4.A. Vertical'!$F42/$F$44</f>
        <v>3.2678920351413857E-2</v>
      </c>
      <c r="H42" s="271">
        <f>+'1.Estado Situación'!E43</f>
        <v>142833556.66</v>
      </c>
      <c r="I42" s="272">
        <f>+'4.A. Vertical'!$H42/$H$44</f>
        <v>2.6195574152417862E-2</v>
      </c>
    </row>
    <row r="43" spans="1:9" ht="13.5" thickBot="1">
      <c r="A43" s="261" t="s">
        <v>41</v>
      </c>
      <c r="B43" s="262">
        <f>+'1.Estado Situación'!B44</f>
        <v>2019493199.0133333</v>
      </c>
      <c r="C43" s="263">
        <f>+'4.A. Vertical'!$B43/$B$44</f>
        <v>0.32509679438565725</v>
      </c>
      <c r="D43" s="262">
        <f>+'1.Estado Situación'!C44</f>
        <v>2101302571.0200002</v>
      </c>
      <c r="E43" s="263">
        <f>+'4.A. Vertical'!$D43/$D$44</f>
        <v>0.35999237729317918</v>
      </c>
      <c r="F43" s="262">
        <f>+'1.Estado Situación'!D44</f>
        <v>2112747622.1866667</v>
      </c>
      <c r="G43" s="263">
        <f>+'4.A. Vertical'!$F43/$F$44</f>
        <v>0.38720500161774579</v>
      </c>
      <c r="H43" s="262">
        <f>+'1.Estado Situación'!E44</f>
        <v>2083056184.1066666</v>
      </c>
      <c r="I43" s="263">
        <f>+'4.A. Vertical'!$H43/$H$44</f>
        <v>0.38203104375752078</v>
      </c>
    </row>
    <row r="44" spans="1:9" ht="13.5" thickTop="1">
      <c r="A44" s="264" t="s">
        <v>43</v>
      </c>
      <c r="B44" s="29">
        <f>+B43+B36</f>
        <v>6211975122.1466675</v>
      </c>
      <c r="C44" s="265">
        <f>+'4.A. Vertical'!$B44/$B$44</f>
        <v>1</v>
      </c>
      <c r="D44" s="29">
        <f>+D43+D36</f>
        <v>5837075181.4799995</v>
      </c>
      <c r="E44" s="265">
        <f>+'4.A. Vertical'!$D44/$D$44</f>
        <v>1</v>
      </c>
      <c r="F44" s="29">
        <f>+F43+F36</f>
        <v>5456405814.3866663</v>
      </c>
      <c r="G44" s="265">
        <f>+'4.A. Vertical'!$F44/$F$44</f>
        <v>1</v>
      </c>
      <c r="H44" s="29">
        <f>+H43+H36</f>
        <v>5452583548.2333336</v>
      </c>
      <c r="I44" s="265">
        <f>+'4.A. Vertical'!$H44/$H$44</f>
        <v>1</v>
      </c>
    </row>
    <row r="45" spans="1:9">
      <c r="A45" s="273"/>
      <c r="B45" s="145">
        <f>+B44-B20</f>
        <v>0</v>
      </c>
      <c r="C45" s="274"/>
      <c r="D45" s="145">
        <f>+D44-D20</f>
        <v>0</v>
      </c>
      <c r="E45" s="274"/>
      <c r="F45" s="145">
        <f>+F44-F20</f>
        <v>0</v>
      </c>
      <c r="G45" s="274"/>
      <c r="H45" s="145">
        <f>+H44-H20</f>
        <v>0</v>
      </c>
      <c r="I45" s="274"/>
    </row>
    <row r="46" spans="1:9">
      <c r="A46" s="17"/>
      <c r="B46" s="25"/>
      <c r="C46" s="17"/>
      <c r="D46" s="25"/>
      <c r="E46" s="17"/>
      <c r="F46" s="25"/>
      <c r="G46" s="17"/>
      <c r="H46" s="25"/>
      <c r="I46" s="17"/>
    </row>
    <row r="47" spans="1:9">
      <c r="A47" s="17"/>
      <c r="B47" s="25"/>
      <c r="C47" s="17"/>
      <c r="D47" s="25"/>
      <c r="E47" s="17"/>
      <c r="F47" s="25"/>
      <c r="G47" s="17"/>
      <c r="H47" s="25"/>
      <c r="I47" s="17"/>
    </row>
    <row r="48" spans="1:9" ht="15">
      <c r="A48" s="14" t="s">
        <v>190</v>
      </c>
    </row>
    <row r="50" spans="1:9">
      <c r="A50" s="20" t="s">
        <v>193</v>
      </c>
      <c r="B50" s="20"/>
      <c r="C50" s="20"/>
      <c r="D50" s="20"/>
      <c r="E50" s="20"/>
      <c r="F50" s="20"/>
      <c r="G50" s="20"/>
      <c r="H50" s="20"/>
      <c r="I50" s="20"/>
    </row>
    <row r="51" spans="1:9">
      <c r="A51" s="20" t="s">
        <v>126</v>
      </c>
      <c r="B51" s="20"/>
      <c r="C51" s="20"/>
      <c r="D51" s="20"/>
      <c r="E51" s="20"/>
      <c r="F51" s="20"/>
      <c r="G51" s="20"/>
      <c r="H51" s="20"/>
      <c r="I51" s="20"/>
    </row>
    <row r="52" spans="1:9">
      <c r="A52" s="22" t="s">
        <v>2</v>
      </c>
      <c r="B52" s="22"/>
      <c r="C52" s="22"/>
      <c r="D52" s="22"/>
      <c r="E52" s="22"/>
      <c r="F52" s="22"/>
      <c r="G52" s="22"/>
      <c r="H52" s="22"/>
      <c r="I52" s="22"/>
    </row>
    <row r="53" spans="1:9">
      <c r="B53" s="15"/>
      <c r="D53" s="15"/>
      <c r="F53" s="15"/>
      <c r="H53" s="15"/>
    </row>
    <row r="54" spans="1:9">
      <c r="A54" s="148"/>
      <c r="B54" s="149">
        <v>39721</v>
      </c>
      <c r="C54" s="149"/>
      <c r="D54" s="149">
        <v>40086</v>
      </c>
      <c r="E54" s="149"/>
      <c r="F54" s="149">
        <v>40451</v>
      </c>
      <c r="G54" s="149"/>
      <c r="H54" s="149">
        <v>40816</v>
      </c>
      <c r="I54" s="149"/>
    </row>
    <row r="55" spans="1:9">
      <c r="A55" s="17" t="str">
        <f>+'2.Estado Resultados'!A8</f>
        <v>Ventas</v>
      </c>
      <c r="B55" s="25">
        <f>+'2.Estado Resultados'!B8</f>
        <v>16522423948.166666</v>
      </c>
      <c r="C55" s="30">
        <f>+AVER[[#This Row],[Column2]]/$B$55</f>
        <v>1</v>
      </c>
      <c r="D55" s="25">
        <f>+'2.Estado Resultados'!C8</f>
        <v>14253728943.553335</v>
      </c>
      <c r="E55" s="30">
        <f>+AVER[[#This Row],[Column4]]/$D$55</f>
        <v>1</v>
      </c>
      <c r="F55" s="25">
        <f>+'2.Estado Resultados'!D8</f>
        <v>11175220610.993334</v>
      </c>
      <c r="G55" s="30">
        <f>+AVER[[#This Row],[Column6]]/$F$55</f>
        <v>1</v>
      </c>
      <c r="H55" s="25">
        <f>+'2.Estado Resultados'!E8</f>
        <v>9952376060.7333336</v>
      </c>
      <c r="I55" s="30">
        <f>+AVER[[#This Row],[Column8]]/$H$55</f>
        <v>1</v>
      </c>
    </row>
    <row r="56" spans="1:9" ht="13.5" thickBot="1">
      <c r="A56" s="157" t="str">
        <f>+'2.Estado Resultados'!A9</f>
        <v>Costo de ventas</v>
      </c>
      <c r="B56" s="155">
        <f>+'2.Estado Resultados'!B9</f>
        <v>14149080687.706667</v>
      </c>
      <c r="C56" s="160">
        <f>+AVER[[#This Row],[Column2]]/$B$55</f>
        <v>0.8563562303021921</v>
      </c>
      <c r="D56" s="155">
        <f>+'2.Estado Resultados'!C9</f>
        <v>11894928376.573334</v>
      </c>
      <c r="E56" s="160">
        <f>+AVER[[#This Row],[Column4]]/$D$55</f>
        <v>0.83451344021475604</v>
      </c>
      <c r="F56" s="155">
        <f>+'2.Estado Resultados'!D9</f>
        <v>9340656308.7800007</v>
      </c>
      <c r="G56" s="160">
        <f>+AVER[[#This Row],[Column6]]/$F$55</f>
        <v>0.83583641289294741</v>
      </c>
      <c r="H56" s="155">
        <f>+'2.Estado Resultados'!E9</f>
        <v>8273794479.1866674</v>
      </c>
      <c r="I56" s="160">
        <f>+AVER[[#This Row],[Column8]]/$H$55</f>
        <v>0.83133860986529273</v>
      </c>
    </row>
    <row r="57" spans="1:9" ht="13.5" thickTop="1">
      <c r="A57" s="27" t="str">
        <f>+'2.Estado Resultados'!A10</f>
        <v>Utilidad bruta</v>
      </c>
      <c r="B57" s="28">
        <f>+'2.Estado Resultados'!B10</f>
        <v>2373343260.4599991</v>
      </c>
      <c r="C57" s="142">
        <f>+AVER[[#This Row],[Column2]]/$B$55</f>
        <v>0.14364376969780793</v>
      </c>
      <c r="D57" s="28">
        <f>+'2.Estado Resultados'!C10</f>
        <v>2358800566.980001</v>
      </c>
      <c r="E57" s="142">
        <f>+AVER[[#This Row],[Column4]]/$D$55</f>
        <v>0.16548655978524393</v>
      </c>
      <c r="F57" s="28">
        <f>+'2.Estado Resultados'!D10</f>
        <v>1834564302.2133331</v>
      </c>
      <c r="G57" s="142">
        <f>+AVER[[#This Row],[Column6]]/$F$55</f>
        <v>0.16416358710705253</v>
      </c>
      <c r="H57" s="28">
        <f>+'2.Estado Resultados'!E10</f>
        <v>1678581581.5466664</v>
      </c>
      <c r="I57" s="142">
        <f>+AVER[[#This Row],[Column8]]/$H$55</f>
        <v>0.16866139013470732</v>
      </c>
    </row>
    <row r="58" spans="1:9">
      <c r="A58" s="17" t="str">
        <f>+'2.Estado Resultados'!A11</f>
        <v>Gastos de ventas</v>
      </c>
      <c r="B58" s="25">
        <f>+'2.Estado Resultados'!B11</f>
        <v>1209005884.9866667</v>
      </c>
      <c r="C58" s="30">
        <f>+AVER[[#This Row],[Column2]]/$B$55</f>
        <v>7.3173638975703587E-2</v>
      </c>
      <c r="D58" s="25">
        <f>+'2.Estado Resultados'!C11</f>
        <v>1217703034.3533332</v>
      </c>
      <c r="E58" s="30">
        <f>+AVER[[#This Row],[Column4]]/$D$55</f>
        <v>8.543048904434758E-2</v>
      </c>
      <c r="F58" s="25">
        <f>+'2.Estado Resultados'!D11</f>
        <v>1077193257.9200001</v>
      </c>
      <c r="G58" s="30">
        <f>+AVER[[#This Row],[Column6]]/$F$55</f>
        <v>9.6391229794635019E-2</v>
      </c>
      <c r="H58" s="25">
        <f>+'2.Estado Resultados'!E11</f>
        <v>979213416.20666659</v>
      </c>
      <c r="I58" s="30">
        <f>+AVER[[#This Row],[Column8]]/$H$55</f>
        <v>9.8389913145475932E-2</v>
      </c>
    </row>
    <row r="59" spans="1:9" ht="13.5" thickBot="1">
      <c r="A59" s="157" t="str">
        <f>+'2.Estado Resultados'!A12</f>
        <v>Gastos administrativos</v>
      </c>
      <c r="B59" s="155">
        <f>+'2.Estado Resultados'!B12</f>
        <v>782452723.44666672</v>
      </c>
      <c r="C59" s="160">
        <f>+AVER[[#This Row],[Column2]]/$B$55</f>
        <v>4.7357017705231319E-2</v>
      </c>
      <c r="D59" s="155">
        <f>+'2.Estado Resultados'!C12</f>
        <v>736580000.94000006</v>
      </c>
      <c r="E59" s="160">
        <f>+AVER[[#This Row],[Column4]]/$D$55</f>
        <v>5.1676301959785745E-2</v>
      </c>
      <c r="F59" s="155">
        <f>+'2.Estado Resultados'!D12</f>
        <v>687446278.89333332</v>
      </c>
      <c r="G59" s="160">
        <f>+AVER[[#This Row],[Column6]]/$F$55</f>
        <v>6.1515231137099509E-2</v>
      </c>
      <c r="H59" s="155">
        <f>+'2.Estado Resultados'!E12</f>
        <v>614421205.32666671</v>
      </c>
      <c r="I59" s="160">
        <f>+AVER[[#This Row],[Column8]]/$H$55</f>
        <v>6.1736132314255975E-2</v>
      </c>
    </row>
    <row r="60" spans="1:9" ht="13.5" thickTop="1">
      <c r="A60" s="27" t="str">
        <f>+'2.Estado Resultados'!A13</f>
        <v>Utilidad de operación</v>
      </c>
      <c r="B60" s="28">
        <f>+'2.Estado Resultados'!B13</f>
        <v>381884652.02666569</v>
      </c>
      <c r="C60" s="142">
        <f>+AVER[[#This Row],[Column2]]/$B$55</f>
        <v>2.3113113016873032E-2</v>
      </c>
      <c r="D60" s="28">
        <f>+'2.Estado Resultados'!C13</f>
        <v>404517531.68666744</v>
      </c>
      <c r="E60" s="142">
        <f>+AVER[[#This Row],[Column4]]/$D$55</f>
        <v>2.8379768781110596E-2</v>
      </c>
      <c r="F60" s="28">
        <f>+'2.Estado Resultados'!D13</f>
        <v>69924765.399999693</v>
      </c>
      <c r="G60" s="142">
        <f>+AVER[[#This Row],[Column6]]/$F$55</f>
        <v>6.2571261753180084E-3</v>
      </c>
      <c r="H60" s="28">
        <f>+'2.Estado Resultados'!E13</f>
        <v>84946960.013333157</v>
      </c>
      <c r="I60" s="142">
        <f>+AVER[[#This Row],[Column8]]/$H$55</f>
        <v>8.5353446749754248E-3</v>
      </c>
    </row>
    <row r="61" spans="1:9">
      <c r="A61" s="17" t="str">
        <f>+'2.Estado Resultados'!A14</f>
        <v>Gastos financieros</v>
      </c>
      <c r="B61" s="25">
        <f>+'2.Estado Resultados'!B14</f>
        <v>301633125.56</v>
      </c>
      <c r="C61" s="30">
        <f>+AVER[[#This Row],[Column2]]/$B$55</f>
        <v>1.8255985108859847E-2</v>
      </c>
      <c r="D61" s="25">
        <f>+'2.Estado Resultados'!C14</f>
        <v>339416102.39333332</v>
      </c>
      <c r="E61" s="30">
        <f>+AVER[[#This Row],[Column4]]/$D$55</f>
        <v>2.3812442606244745E-2</v>
      </c>
      <c r="F61" s="25">
        <f>+'2.Estado Resultados'!D14</f>
        <v>157795880.59333333</v>
      </c>
      <c r="G61" s="30">
        <f>+AVER[[#This Row],[Column6]]/$F$55</f>
        <v>1.4120157989373895E-2</v>
      </c>
      <c r="H61" s="25">
        <f>+'2.Estado Resultados'!E14</f>
        <v>238178340.93333331</v>
      </c>
      <c r="I61" s="30">
        <f>+AVER[[#This Row],[Column8]]/$H$55</f>
        <v>2.3931806784618558E-2</v>
      </c>
    </row>
    <row r="62" spans="1:9">
      <c r="A62" s="17" t="str">
        <f>+'2.Estado Resultados'!A15</f>
        <v>Ingresos financieros</v>
      </c>
      <c r="B62" s="25">
        <f>+'2.Estado Resultados'!B15</f>
        <v>8727489.7000000011</v>
      </c>
      <c r="C62" s="30">
        <f>+AVER[[#This Row],[Column2]]/$B$55</f>
        <v>5.2822090314226598E-4</v>
      </c>
      <c r="D62" s="25">
        <f>+'2.Estado Resultados'!C15</f>
        <v>0</v>
      </c>
      <c r="E62" s="30">
        <f>+AVER[[#This Row],[Column4]]/$D$55</f>
        <v>0</v>
      </c>
      <c r="F62" s="25">
        <f>+'2.Estado Resultados'!D15</f>
        <v>124479996.33999999</v>
      </c>
      <c r="G62" s="30">
        <f>+AVER[[#This Row],[Column6]]/$F$55</f>
        <v>1.1138929661714777E-2</v>
      </c>
      <c r="H62" s="25">
        <f>+'2.Estado Resultados'!E15</f>
        <v>268920506.40000004</v>
      </c>
      <c r="I62" s="30">
        <f>+AVER[[#This Row],[Column8]]/$H$55</f>
        <v>2.702073401958897E-2</v>
      </c>
    </row>
    <row r="63" spans="1:9">
      <c r="A63" s="17" t="str">
        <f>+'2.Estado Resultados'!A16</f>
        <v xml:space="preserve">Otros ingresos </v>
      </c>
      <c r="B63" s="25">
        <f>+'2.Estado Resultados'!B16</f>
        <v>104745552.27999999</v>
      </c>
      <c r="C63" s="30">
        <f>+AVER[[#This Row],[Column2]]/$B$55</f>
        <v>6.3395996016445627E-3</v>
      </c>
      <c r="D63" s="25">
        <f>+'2.Estado Resultados'!C16</f>
        <v>105699861.89999999</v>
      </c>
      <c r="E63" s="30">
        <f>+AVER[[#This Row],[Column4]]/$D$55</f>
        <v>7.4155936540245375E-3</v>
      </c>
      <c r="F63" s="25">
        <f>+'2.Estado Resultados'!D16</f>
        <v>0</v>
      </c>
      <c r="G63" s="30">
        <f>+AVER[[#This Row],[Column6]]/$F$55</f>
        <v>0</v>
      </c>
      <c r="H63" s="25">
        <f>+'2.Estado Resultados'!E16</f>
        <v>0</v>
      </c>
      <c r="I63" s="30">
        <f>+AVER[[#This Row],[Column8]]/$H$55</f>
        <v>0</v>
      </c>
    </row>
    <row r="64" spans="1:9" ht="13.5" thickBot="1">
      <c r="A64" s="157" t="str">
        <f>+'2.Estado Resultados'!A17</f>
        <v>Otros gastos</v>
      </c>
      <c r="B64" s="155">
        <f>+'2.Estado Resultados'!B17</f>
        <v>0</v>
      </c>
      <c r="C64" s="160">
        <f>+AVER[[#This Row],[Column2]]/$B$55</f>
        <v>0</v>
      </c>
      <c r="D64" s="155">
        <f>+'2.Estado Resultados'!C17</f>
        <v>0</v>
      </c>
      <c r="E64" s="160">
        <f>+AVER[[#This Row],[Column4]]/$D$55</f>
        <v>0</v>
      </c>
      <c r="F64" s="155">
        <f>+'2.Estado Resultados'!D17</f>
        <v>0</v>
      </c>
      <c r="G64" s="160">
        <f>+AVER[[#This Row],[Column6]]/$F$55</f>
        <v>0</v>
      </c>
      <c r="H64" s="155">
        <f>+'2.Estado Resultados'!E17</f>
        <v>0</v>
      </c>
      <c r="I64" s="160">
        <f>+AVER[[#This Row],[Column8]]/$H$55</f>
        <v>0</v>
      </c>
    </row>
    <row r="65" spans="1:9" ht="13.5" thickTop="1">
      <c r="A65" s="27" t="str">
        <f>+'2.Estado Resultados'!A18</f>
        <v>Utilidad antes de impuestos</v>
      </c>
      <c r="B65" s="28">
        <f>+'2.Estado Resultados'!B18</f>
        <v>193724568.44666567</v>
      </c>
      <c r="C65" s="142">
        <f>+AVER[[#This Row],[Column2]]/$B$55</f>
        <v>1.1724948412800014E-2</v>
      </c>
      <c r="D65" s="28">
        <f>+'2.Estado Resultados'!C18</f>
        <v>170801291.19333413</v>
      </c>
      <c r="E65" s="142">
        <f>+AVER[[#This Row],[Column4]]/$D$55</f>
        <v>1.198291982889039E-2</v>
      </c>
      <c r="F65" s="28">
        <f>+'2.Estado Resultados'!D18</f>
        <v>36608881.14666637</v>
      </c>
      <c r="G65" s="142">
        <f>+AVER[[#This Row],[Column6]]/$F$55</f>
        <v>3.2758978476588939E-3</v>
      </c>
      <c r="H65" s="28">
        <f>+'2.Estado Resultados'!E18</f>
        <v>115689125.47999986</v>
      </c>
      <c r="I65" s="142">
        <f>+AVER[[#This Row],[Column8]]/$H$55</f>
        <v>1.1624271909945832E-2</v>
      </c>
    </row>
    <row r="66" spans="1:9" ht="13.5" thickBot="1">
      <c r="A66" s="157" t="str">
        <f>+'2.Estado Resultados'!A19</f>
        <v>Impuesto de renta</v>
      </c>
      <c r="B66" s="155">
        <f>+'2.Estado Resultados'!B19</f>
        <v>88612803.573333338</v>
      </c>
      <c r="C66" s="160">
        <f>+AVER[[#This Row],[Column2]]/$B$55</f>
        <v>5.3631842307959813E-3</v>
      </c>
      <c r="D66" s="155">
        <f>+'2.Estado Resultados'!C19</f>
        <v>88991919.186666667</v>
      </c>
      <c r="E66" s="160">
        <f>+AVER[[#This Row],[Column4]]/$D$55</f>
        <v>6.2434131825493885E-3</v>
      </c>
      <c r="F66" s="155">
        <f>+'2.Estado Resultados'!D19</f>
        <v>25163829.98</v>
      </c>
      <c r="G66" s="160">
        <f>+AVER[[#This Row],[Column6]]/$F$55</f>
        <v>2.251752413303209E-3</v>
      </c>
      <c r="H66" s="155">
        <f>+'2.Estado Resultados'!E19</f>
        <v>3867030.973333329</v>
      </c>
      <c r="I66" s="160">
        <f>+AVER[[#This Row],[Column8]]/$H$55</f>
        <v>3.8855354236367045E-4</v>
      </c>
    </row>
    <row r="67" spans="1:9" ht="13.5" thickTop="1">
      <c r="A67" s="27" t="str">
        <f>+'2.Estado Resultados'!A20</f>
        <v>Utilidad neta</v>
      </c>
      <c r="B67" s="28">
        <f>+'2.Estado Resultados'!B20</f>
        <v>105111764.87333234</v>
      </c>
      <c r="C67" s="142">
        <f>+AVER[[#This Row],[Column2]]/$B$55</f>
        <v>6.3617641820040314E-3</v>
      </c>
      <c r="D67" s="28">
        <f>+'2.Estado Resultados'!C20</f>
        <v>81809372.00666745</v>
      </c>
      <c r="E67" s="142">
        <f>+AVER[[#This Row],[Column4]]/$D$55</f>
        <v>5.7395066463409999E-3</v>
      </c>
      <c r="F67" s="28">
        <f>+'2.Estado Resultados'!D20</f>
        <v>11445051.166666368</v>
      </c>
      <c r="G67" s="142">
        <f>+AVER[[#This Row],[Column6]]/$F$55</f>
        <v>1.0241454343556846E-3</v>
      </c>
      <c r="H67" s="28">
        <f>+'2.Estado Resultados'!E20</f>
        <v>111822094.50666654</v>
      </c>
      <c r="I67" s="142">
        <f>+AVER[[#This Row],[Column8]]/$H$55</f>
        <v>1.1235718367582165E-2</v>
      </c>
    </row>
    <row r="68" spans="1:9">
      <c r="A68" s="17"/>
      <c r="B68" s="30"/>
      <c r="C68" s="30"/>
      <c r="D68" s="30"/>
      <c r="E68" s="30"/>
      <c r="F68" s="30"/>
      <c r="G68" s="30"/>
      <c r="H68" s="30"/>
      <c r="I68" s="30"/>
    </row>
  </sheetData>
  <hyperlinks>
    <hyperlink ref="A48" location="Indice!A1" display="Volver a la página del Indice"/>
  </hyperlinks>
  <pageMargins left="0.7" right="0.7" top="0.75" bottom="0.75" header="0.3" footer="0.3"/>
  <ignoredErrors>
    <ignoredError sqref="C55:C67 E55:I67 B13 E45 D9 D12:E12 B15:D16 E14 H10 B31 B21 D8 D13 B17:B20 D17:D20 F8 F9 F16 F13 F17:H20 H8 H9 H13 F15 H15 H16 B22 D22 B23:B29 D23:D29 B30 D30 B39:B43 B32:B34 D32:D34 F22 F31 F23:H29 F30 F32:H34 D31 D39:D43 E44 G45 F39:F43 H22 H31 H30 H39:H43" calculatedColumn="1"/>
  </ignoredErrors>
  <tableParts count="2">
    <tablePart r:id="rId1"/>
    <tablePart r:id="rId2"/>
  </tableParts>
</worksheet>
</file>

<file path=xl/worksheets/sheet6.xml><?xml version="1.0" encoding="utf-8"?>
<worksheet xmlns="http://schemas.openxmlformats.org/spreadsheetml/2006/main" xmlns:r="http://schemas.openxmlformats.org/officeDocument/2006/relationships">
  <dimension ref="A1:S69"/>
  <sheetViews>
    <sheetView showGridLines="0" topLeftCell="A44" workbookViewId="0">
      <selection activeCell="H58" sqref="H58"/>
    </sheetView>
  </sheetViews>
  <sheetFormatPr defaultColWidth="16.42578125" defaultRowHeight="15"/>
  <cols>
    <col min="1" max="1" width="40" style="15" bestFit="1" customWidth="1"/>
    <col min="2" max="2" width="17.7109375" style="15" bestFit="1" customWidth="1"/>
    <col min="3" max="3" width="17.28515625" style="32" bestFit="1" customWidth="1"/>
    <col min="4" max="4" width="11.140625" style="15" customWidth="1"/>
    <col min="5" max="5" width="17.7109375" style="32" bestFit="1" customWidth="1"/>
    <col min="6" max="6" width="17.28515625" style="12" bestFit="1" customWidth="1"/>
    <col min="7" max="7" width="12.28515625" style="32" customWidth="1"/>
    <col min="8" max="8" width="17.7109375" style="12" bestFit="1" customWidth="1"/>
    <col min="9" max="9" width="17.28515625" style="12" bestFit="1" customWidth="1"/>
    <col min="10" max="10" width="13.28515625" style="32" customWidth="1"/>
    <col min="11" max="11" width="17.7109375" style="12" bestFit="1" customWidth="1"/>
    <col min="12" max="12" width="16.42578125" style="12"/>
    <col min="13" max="13" width="24.42578125" style="12" bestFit="1" customWidth="1"/>
    <col min="14" max="14" width="17.7109375" style="15" bestFit="1" customWidth="1"/>
    <col min="15" max="15" width="17.28515625" style="15" bestFit="1" customWidth="1"/>
    <col min="16" max="16" width="7" style="32" bestFit="1" customWidth="1"/>
    <col min="17" max="17" width="17.7109375" style="32" bestFit="1" customWidth="1"/>
    <col min="18" max="18" width="17.28515625" style="32" bestFit="1" customWidth="1"/>
    <col min="19" max="19" width="7" style="15" bestFit="1" customWidth="1"/>
    <col min="20" max="20" width="17.7109375" style="15" bestFit="1" customWidth="1"/>
    <col min="21" max="21" width="17.28515625" style="15" bestFit="1" customWidth="1"/>
    <col min="22" max="22" width="7" style="15" bestFit="1" customWidth="1"/>
    <col min="23" max="24" width="17.7109375" style="15" bestFit="1" customWidth="1"/>
    <col min="25" max="25" width="5.7109375" style="15" bestFit="1" customWidth="1"/>
    <col min="26" max="26" width="17.7109375" style="15" bestFit="1" customWidth="1"/>
    <col min="27" max="27" width="5.7109375" style="15" bestFit="1" customWidth="1"/>
    <col min="28" max="28" width="17.7109375" style="15" bestFit="1" customWidth="1"/>
    <col min="29" max="29" width="5.7109375" style="15" bestFit="1" customWidth="1"/>
    <col min="30" max="16384" width="16.42578125" style="15"/>
  </cols>
  <sheetData>
    <row r="1" spans="1:18">
      <c r="A1" s="14" t="s">
        <v>190</v>
      </c>
      <c r="B1" s="18"/>
      <c r="C1" s="140"/>
      <c r="D1" s="18"/>
      <c r="E1" s="140"/>
      <c r="F1" s="140"/>
      <c r="G1" s="18"/>
      <c r="H1" s="140"/>
      <c r="I1" s="140"/>
      <c r="J1" s="19"/>
      <c r="K1" s="140"/>
      <c r="L1" s="15"/>
      <c r="M1" s="15"/>
      <c r="P1" s="15"/>
      <c r="Q1" s="15"/>
      <c r="R1" s="15"/>
    </row>
    <row r="2" spans="1:18">
      <c r="A2" s="20" t="s">
        <v>193</v>
      </c>
      <c r="B2" s="20"/>
      <c r="C2" s="33"/>
      <c r="D2" s="20"/>
      <c r="E2" s="33"/>
      <c r="F2" s="33"/>
      <c r="G2" s="20"/>
      <c r="H2" s="33"/>
      <c r="I2" s="33"/>
      <c r="J2" s="21"/>
      <c r="K2" s="33"/>
      <c r="L2" s="15"/>
    </row>
    <row r="3" spans="1:18">
      <c r="A3" s="20" t="s">
        <v>178</v>
      </c>
      <c r="B3" s="20"/>
      <c r="C3" s="33"/>
      <c r="D3" s="20"/>
      <c r="E3" s="33"/>
      <c r="F3" s="33"/>
      <c r="G3" s="20"/>
      <c r="H3" s="33"/>
      <c r="I3" s="33"/>
      <c r="J3" s="21"/>
      <c r="K3" s="33"/>
      <c r="L3" s="15"/>
    </row>
    <row r="4" spans="1:18">
      <c r="A4" s="22" t="s">
        <v>16</v>
      </c>
      <c r="B4" s="22"/>
      <c r="C4" s="34"/>
      <c r="D4" s="22"/>
      <c r="E4" s="34"/>
      <c r="F4" s="34"/>
      <c r="G4" s="141"/>
      <c r="H4" s="34"/>
      <c r="I4" s="34"/>
      <c r="J4" s="23"/>
      <c r="K4" s="34"/>
      <c r="L4" s="15"/>
    </row>
    <row r="5" spans="1:18">
      <c r="A5" s="403"/>
      <c r="B5" s="403"/>
      <c r="C5"/>
      <c r="D5"/>
      <c r="E5" s="403"/>
      <c r="F5"/>
      <c r="G5"/>
      <c r="H5" s="403"/>
      <c r="I5"/>
      <c r="J5"/>
      <c r="K5" s="403"/>
      <c r="L5" s="15"/>
    </row>
    <row r="6" spans="1:18">
      <c r="A6" s="404"/>
      <c r="B6" s="24"/>
      <c r="C6" s="529" t="s">
        <v>177</v>
      </c>
      <c r="D6" s="530"/>
      <c r="E6" s="145"/>
      <c r="F6" s="529" t="s">
        <v>177</v>
      </c>
      <c r="G6" s="530"/>
      <c r="H6" s="145"/>
      <c r="I6" s="529" t="s">
        <v>177</v>
      </c>
      <c r="J6" s="530"/>
      <c r="K6" s="145"/>
      <c r="L6" s="102"/>
    </row>
    <row r="7" spans="1:18">
      <c r="A7" s="278"/>
      <c r="B7" s="279">
        <f>+'1.Estado Situación'!B7</f>
        <v>39721</v>
      </c>
      <c r="C7" s="279" t="s">
        <v>176</v>
      </c>
      <c r="D7" s="279" t="s">
        <v>116</v>
      </c>
      <c r="E7" s="279">
        <f>+'1.Estado Situación'!C7</f>
        <v>40086</v>
      </c>
      <c r="F7" s="279" t="s">
        <v>176</v>
      </c>
      <c r="G7" s="279" t="s">
        <v>116</v>
      </c>
      <c r="H7" s="279">
        <f>+'1.Estado Situación'!D7</f>
        <v>40451</v>
      </c>
      <c r="I7" s="279" t="s">
        <v>176</v>
      </c>
      <c r="J7" s="279" t="s">
        <v>116</v>
      </c>
      <c r="K7" s="279">
        <f>+'1.Estado Situación'!E7</f>
        <v>40816</v>
      </c>
      <c r="L7" s="15"/>
    </row>
    <row r="8" spans="1:18" s="17" customFormat="1">
      <c r="A8" s="237" t="str">
        <f>+'1.Estado Situación'!A8</f>
        <v>Activo corriente</v>
      </c>
      <c r="B8" s="280"/>
      <c r="C8" s="238"/>
      <c r="D8" s="238"/>
      <c r="E8" s="238"/>
      <c r="F8" s="238"/>
      <c r="G8" s="239"/>
      <c r="H8" s="238"/>
      <c r="I8" s="238"/>
      <c r="J8" s="238"/>
      <c r="K8" s="238"/>
      <c r="M8" s="226"/>
      <c r="P8" s="25"/>
      <c r="Q8" s="25"/>
      <c r="R8" s="25"/>
    </row>
    <row r="9" spans="1:18" s="17" customFormat="1">
      <c r="A9" s="242" t="str">
        <f>+'1.Estado Situación'!A9</f>
        <v xml:space="preserve">Caja, bancos </v>
      </c>
      <c r="B9" s="281">
        <f>+'1.Estado Situación'!B9</f>
        <v>385891272.51999998</v>
      </c>
      <c r="C9" s="238">
        <f>+'5.A. horizontal'!$E9-'5.A. horizontal'!$B9</f>
        <v>-236586351.03999999</v>
      </c>
      <c r="D9" s="282">
        <f>+'5.A. horizontal'!$C9/'5.A. horizontal'!$B9</f>
        <v>-0.61309070167617796</v>
      </c>
      <c r="E9" s="238">
        <f>+'1.Estado Situación'!C9</f>
        <v>149304921.47999999</v>
      </c>
      <c r="F9" s="238">
        <f>+'5.A. horizontal'!$H9-'5.A. horizontal'!$E9</f>
        <v>-33924689.853333324</v>
      </c>
      <c r="G9" s="282">
        <f>+'5.A. horizontal'!$F9/'5.A. horizontal'!$E9</f>
        <v>-0.2272174923442003</v>
      </c>
      <c r="H9" s="238">
        <f>+'1.Estado Situación'!D9</f>
        <v>115380231.62666667</v>
      </c>
      <c r="I9" s="238">
        <f>+'5.A. horizontal'!$K9-'5.A. horizontal'!$H9</f>
        <v>-13549371.75999999</v>
      </c>
      <c r="J9" s="282">
        <f>+'5.A. horizontal'!$I9/'5.A. horizontal'!$H9</f>
        <v>-0.11743235014331919</v>
      </c>
      <c r="K9" s="238">
        <f>+'1.Estado Situación'!E9</f>
        <v>101830859.86666667</v>
      </c>
      <c r="M9" s="226"/>
      <c r="P9" s="25"/>
      <c r="Q9" s="25"/>
      <c r="R9" s="25"/>
    </row>
    <row r="10" spans="1:18" s="17" customFormat="1">
      <c r="A10" s="242" t="str">
        <f>+'1.Estado Situación'!A10</f>
        <v>Inversiones transitorias</v>
      </c>
      <c r="B10" s="281">
        <f>+'1.Estado Situación'!B10</f>
        <v>903223.29333333333</v>
      </c>
      <c r="C10" s="238">
        <f>+'5.A. horizontal'!$E10-'5.A. horizontal'!$B10</f>
        <v>2791629.2399999998</v>
      </c>
      <c r="D10" s="282">
        <f>+'5.A. horizontal'!$C10/'5.A. horizontal'!$B10</f>
        <v>3.0907409724759534</v>
      </c>
      <c r="E10" s="238">
        <f>+'1.Estado Situación'!C10</f>
        <v>3694852.5333333332</v>
      </c>
      <c r="F10" s="238">
        <f>+'5.A. horizontal'!$H10-'5.A. horizontal'!$E10</f>
        <v>325289.40000000037</v>
      </c>
      <c r="G10" s="282">
        <f>+'5.A. horizontal'!$F10/'5.A. horizontal'!$E10</f>
        <v>8.803853389692351E-2</v>
      </c>
      <c r="H10" s="238">
        <f>+'1.Estado Situación'!D10</f>
        <v>4020141.9333333336</v>
      </c>
      <c r="I10" s="238">
        <f>+'5.A. horizontal'!$K10-'5.A. horizontal'!$H10</f>
        <v>17033644.48</v>
      </c>
      <c r="J10" s="282">
        <f>+'5.A. horizontal'!$I10/'5.A. horizontal'!$H10</f>
        <v>4.2370753974540429</v>
      </c>
      <c r="K10" s="238">
        <f>+'1.Estado Situación'!E10</f>
        <v>21053786.413333334</v>
      </c>
      <c r="M10" s="226"/>
      <c r="P10" s="25"/>
      <c r="Q10" s="25"/>
      <c r="R10" s="25"/>
    </row>
    <row r="11" spans="1:18" s="17" customFormat="1">
      <c r="A11" s="242" t="str">
        <f>+'1.Estado Situación'!A11</f>
        <v>Cuentas por cobrar comerciales</v>
      </c>
      <c r="B11" s="281">
        <f>+'1.Estado Situación'!B11</f>
        <v>1252786094.5933335</v>
      </c>
      <c r="C11" s="238">
        <f>+'5.A. horizontal'!$E11-'5.A. horizontal'!$B11</f>
        <v>278553565.63333321</v>
      </c>
      <c r="D11" s="282">
        <f>+'5.A. horizontal'!$C11/'5.A. horizontal'!$B11</f>
        <v>0.22234726808949329</v>
      </c>
      <c r="E11" s="238">
        <f>+'1.Estado Situación'!C11</f>
        <v>1531339660.2266667</v>
      </c>
      <c r="F11" s="238">
        <f>+'5.A. horizontal'!$H11-'5.A. horizontal'!$E11</f>
        <v>87532762.666666746</v>
      </c>
      <c r="G11" s="282">
        <f>+'5.A. horizontal'!$F11/'5.A. horizontal'!$E11</f>
        <v>5.7160906192235808E-2</v>
      </c>
      <c r="H11" s="238">
        <f>+'1.Estado Situación'!D11</f>
        <v>1618872422.8933334</v>
      </c>
      <c r="I11" s="238">
        <f>+'5.A. horizontal'!$K11-'5.A. horizontal'!$H11</f>
        <v>-871415479.31333351</v>
      </c>
      <c r="J11" s="282">
        <f>+'5.A. horizontal'!$I11/'5.A. horizontal'!$H11</f>
        <v>-0.53828545535162942</v>
      </c>
      <c r="K11" s="238">
        <f>+'1.Estado Situación'!E11</f>
        <v>747456943.57999992</v>
      </c>
      <c r="M11" s="226"/>
      <c r="P11" s="25"/>
      <c r="Q11" s="25"/>
      <c r="R11" s="25"/>
    </row>
    <row r="12" spans="1:18" s="17" customFormat="1">
      <c r="A12" s="242" t="str">
        <f>+'1.Estado Situación'!A12</f>
        <v>Cuentas por cobrar varias</v>
      </c>
      <c r="B12" s="281">
        <f>+'1.Estado Situación'!B12</f>
        <v>286806686.93333334</v>
      </c>
      <c r="C12" s="238">
        <f>+'5.A. horizontal'!$E12-'5.A. horizontal'!$B12</f>
        <v>7682163.0866667032</v>
      </c>
      <c r="D12" s="282">
        <f>+'5.A. horizontal'!$C12/'5.A. horizontal'!$B12</f>
        <v>2.6785160307131822E-2</v>
      </c>
      <c r="E12" s="238">
        <f>+'1.Estado Situación'!C12</f>
        <v>294488850.02000004</v>
      </c>
      <c r="F12" s="238">
        <f>+'5.A. horizontal'!$H12-'5.A. horizontal'!$E12</f>
        <v>-18850383.960000038</v>
      </c>
      <c r="G12" s="282">
        <f>+'5.A. horizontal'!$F12/'5.A. horizontal'!$E12</f>
        <v>-6.4010518424449089E-2</v>
      </c>
      <c r="H12" s="238">
        <f>+'1.Estado Situación'!D12</f>
        <v>275638466.06</v>
      </c>
      <c r="I12" s="238">
        <f>+'5.A. horizontal'!$K12-'5.A. horizontal'!$H12</f>
        <v>-50581868.7533333</v>
      </c>
      <c r="J12" s="282">
        <f>+'5.A. horizontal'!$I12/'5.A. horizontal'!$H12</f>
        <v>-0.18350801858809801</v>
      </c>
      <c r="K12" s="238">
        <f>+'1.Estado Situación'!E12</f>
        <v>225056597.3066667</v>
      </c>
      <c r="M12" s="226"/>
      <c r="P12" s="25"/>
      <c r="Q12" s="25"/>
      <c r="R12" s="25"/>
    </row>
    <row r="13" spans="1:18" s="17" customFormat="1">
      <c r="A13" s="243" t="str">
        <f>+'1.Estado Situación'!A13</f>
        <v>Inventario</v>
      </c>
      <c r="B13" s="281">
        <f>+'1.Estado Situación'!B13</f>
        <v>1793636044.9399998</v>
      </c>
      <c r="C13" s="238">
        <f>+'5.A. horizontal'!$E13-'5.A. horizontal'!$B13</f>
        <v>-570260530.50666642</v>
      </c>
      <c r="D13" s="282">
        <f>+'5.A. horizontal'!$C13/'5.A. horizontal'!$B13</f>
        <v>-0.317935476439281</v>
      </c>
      <c r="E13" s="238">
        <f>+'1.Estado Situación'!C13</f>
        <v>1223375514.4333334</v>
      </c>
      <c r="F13" s="238">
        <f>+'5.A. horizontal'!$H13-'5.A. horizontal'!$E13</f>
        <v>-201022514.09333336</v>
      </c>
      <c r="G13" s="282">
        <f>+'5.A. horizontal'!$F13/'5.A. horizontal'!$E13</f>
        <v>-0.16431791524489262</v>
      </c>
      <c r="H13" s="238">
        <f>+'1.Estado Situación'!D13</f>
        <v>1022353000.34</v>
      </c>
      <c r="I13" s="238">
        <f>+'5.A. horizontal'!$K13-'5.A. horizontal'!$H13</f>
        <v>81341669.4799999</v>
      </c>
      <c r="J13" s="282">
        <f>+'5.A. horizontal'!$I13/'5.A. horizontal'!$H13</f>
        <v>7.9563193391077647E-2</v>
      </c>
      <c r="K13" s="238">
        <f>+'1.Estado Situación'!E13</f>
        <v>1103694669.8199999</v>
      </c>
      <c r="M13" s="226"/>
      <c r="P13" s="25"/>
      <c r="Q13" s="25"/>
      <c r="R13" s="25"/>
    </row>
    <row r="14" spans="1:18" s="17" customFormat="1" ht="15.75" thickBot="1">
      <c r="A14" s="287" t="str">
        <f>+'1.Estado Situación'!A14</f>
        <v>Gastos diferidos</v>
      </c>
      <c r="B14" s="288">
        <f>+'1.Estado Situación'!B14</f>
        <v>17865641.526666667</v>
      </c>
      <c r="C14" s="289">
        <f>+'5.A. horizontal'!$E14-'5.A. horizontal'!$B14</f>
        <v>9171510.5733333305</v>
      </c>
      <c r="D14" s="290">
        <f>+'5.A. horizontal'!$C14/'5.A. horizontal'!$B14</f>
        <v>0.5133602708664966</v>
      </c>
      <c r="E14" s="289">
        <f>+'1.Estado Situación'!C14</f>
        <v>27037152.099999998</v>
      </c>
      <c r="F14" s="289">
        <f>+'5.A. horizontal'!$H14-'5.A. horizontal'!$E14</f>
        <v>1617922.8866666667</v>
      </c>
      <c r="G14" s="290">
        <f>+'5.A. horizontal'!$F14/'5.A. horizontal'!$E14</f>
        <v>5.9840728812065487E-2</v>
      </c>
      <c r="H14" s="289">
        <f>+'1.Estado Situación'!D14</f>
        <v>28655074.986666664</v>
      </c>
      <c r="I14" s="289">
        <f>+'5.A. horizontal'!$K14-'5.A. horizontal'!$H14</f>
        <v>-6439667.7533333302</v>
      </c>
      <c r="J14" s="290">
        <f>+'5.A. horizontal'!$I14/'5.A. horizontal'!$H14</f>
        <v>-0.22473044500249037</v>
      </c>
      <c r="K14" s="289">
        <f>+'1.Estado Situación'!E14</f>
        <v>22215407.233333334</v>
      </c>
      <c r="M14" s="226"/>
      <c r="P14" s="25"/>
      <c r="Q14" s="25"/>
      <c r="R14" s="25"/>
    </row>
    <row r="15" spans="1:18" s="17" customFormat="1" ht="15.75" thickTop="1">
      <c r="A15" s="246" t="str">
        <f>+'1.Estado Situación'!A15</f>
        <v>Total activo corriente</v>
      </c>
      <c r="B15" s="283">
        <f>SUM(B9:B14)</f>
        <v>3737888963.8066664</v>
      </c>
      <c r="C15" s="283">
        <f>SUM(C9:C14)</f>
        <v>-508648013.01333314</v>
      </c>
      <c r="D15" s="284">
        <f>+'5.A. horizontal'!$C15/'5.A. horizontal'!$B15</f>
        <v>-0.13607895203375062</v>
      </c>
      <c r="E15" s="283">
        <f>SUM(E9:E14)</f>
        <v>3229240950.7933335</v>
      </c>
      <c r="F15" s="283">
        <f>SUM(F9:F14)</f>
        <v>-164321612.95333332</v>
      </c>
      <c r="G15" s="284">
        <f>+'5.A. horizontal'!$F15/'5.A. horizontal'!$E15</f>
        <v>-5.0885522467118513E-2</v>
      </c>
      <c r="H15" s="283">
        <f>SUM(H9:H14)</f>
        <v>3064919337.8400002</v>
      </c>
      <c r="I15" s="283">
        <f>SUM(I9:I14)</f>
        <v>-843611073.62000024</v>
      </c>
      <c r="J15" s="284">
        <f>+'5.A. horizontal'!$I15/'5.A. horizontal'!$H15</f>
        <v>-0.27524739826090644</v>
      </c>
      <c r="K15" s="283">
        <f>SUM(K9:K14)</f>
        <v>2221308264.2199998</v>
      </c>
      <c r="M15" s="226"/>
      <c r="P15" s="25"/>
      <c r="Q15" s="25"/>
      <c r="R15" s="25"/>
    </row>
    <row r="16" spans="1:18" s="17" customFormat="1">
      <c r="A16" s="243"/>
      <c r="B16" s="281"/>
      <c r="C16" s="238"/>
      <c r="D16" s="282"/>
      <c r="E16" s="238"/>
      <c r="F16" s="238"/>
      <c r="G16" s="282"/>
      <c r="H16" s="238"/>
      <c r="I16" s="238"/>
      <c r="J16" s="282"/>
      <c r="K16" s="238"/>
      <c r="M16" s="226"/>
      <c r="P16" s="25"/>
      <c r="Q16" s="25"/>
      <c r="R16" s="25"/>
    </row>
    <row r="17" spans="1:18" s="17" customFormat="1">
      <c r="A17" s="246" t="str">
        <f>+'1.Estado Situación'!A17</f>
        <v>Activo no corriente</v>
      </c>
      <c r="B17" s="281"/>
      <c r="C17" s="238"/>
      <c r="D17" s="282"/>
      <c r="E17" s="238"/>
      <c r="F17" s="238"/>
      <c r="G17" s="282"/>
      <c r="H17" s="238"/>
      <c r="I17" s="238"/>
      <c r="J17" s="282"/>
      <c r="K17" s="238"/>
      <c r="M17" s="226"/>
      <c r="P17" s="25"/>
      <c r="Q17" s="25"/>
      <c r="R17" s="25"/>
    </row>
    <row r="18" spans="1:18" s="17" customFormat="1">
      <c r="A18" s="243" t="str">
        <f>+'1.Estado Situación'!A18</f>
        <v>Propiedad planta y equipo</v>
      </c>
      <c r="B18" s="281">
        <f>+'1.Estado Situación'!B18</f>
        <v>2213537589.9533334</v>
      </c>
      <c r="C18" s="238">
        <f>+'5.A. horizontal'!$E18-'5.A. horizontal'!$B18</f>
        <v>5963040.4400000572</v>
      </c>
      <c r="D18" s="282">
        <f>+'5.A. horizontal'!$C18/'5.A. horizontal'!$B18</f>
        <v>2.6938961719307295E-3</v>
      </c>
      <c r="E18" s="238">
        <f>+'1.Estado Situación'!C18</f>
        <v>2219500630.3933334</v>
      </c>
      <c r="F18" s="238">
        <f>+'5.A. horizontal'!$H18-'5.A. horizontal'!$E18</f>
        <v>-32661900.973333359</v>
      </c>
      <c r="G18" s="282">
        <f>+'5.A. horizontal'!$F18/'5.A. horizontal'!$E18</f>
        <v>-1.471587821425629E-2</v>
      </c>
      <c r="H18" s="238">
        <f>+'1.Estado Situación'!D18</f>
        <v>2186838729.4200001</v>
      </c>
      <c r="I18" s="238">
        <f>+'5.A. horizontal'!$K18-'5.A. horizontal'!$H18</f>
        <v>26728298.853332996</v>
      </c>
      <c r="J18" s="282">
        <f>+'5.A. horizontal'!$I18/'5.A. horizontal'!$H18</f>
        <v>1.2222345659856663E-2</v>
      </c>
      <c r="K18" s="238">
        <f>+'1.Estado Situación'!E18</f>
        <v>2213567028.2733331</v>
      </c>
      <c r="M18" s="226"/>
      <c r="P18" s="25"/>
      <c r="Q18" s="25"/>
      <c r="R18" s="25"/>
    </row>
    <row r="19" spans="1:18" s="17" customFormat="1">
      <c r="A19" s="249" t="str">
        <f>+'1.Estado Situación'!A19</f>
        <v>Otros activos</v>
      </c>
      <c r="B19" s="285">
        <f>+'1.Estado Situación'!B19</f>
        <v>260548568.38666669</v>
      </c>
      <c r="C19" s="250">
        <f>+'5.A. horizontal'!$E19-'5.A. horizontal'!$B19</f>
        <v>127785031.90666667</v>
      </c>
      <c r="D19" s="286">
        <f>+'5.A. horizontal'!$C19/'5.A. horizontal'!$B19</f>
        <v>0.49044611028922447</v>
      </c>
      <c r="E19" s="250">
        <f>+'1.Estado Situación'!C19</f>
        <v>388333600.29333335</v>
      </c>
      <c r="F19" s="250">
        <f>+'5.A. horizontal'!$H19-'5.A. horizontal'!$E19</f>
        <v>-183685853.16666669</v>
      </c>
      <c r="G19" s="286">
        <f>+'5.A. horizontal'!$F19/'5.A. horizontal'!$E19</f>
        <v>-0.47301045551535315</v>
      </c>
      <c r="H19" s="250">
        <f>+'1.Estado Situación'!D19</f>
        <v>204647747.12666667</v>
      </c>
      <c r="I19" s="250">
        <f>+'5.A. horizontal'!$K19-'5.A. horizontal'!$H19</f>
        <v>813060508.61333346</v>
      </c>
      <c r="J19" s="286">
        <f>+'5.A. horizontal'!$I19/'5.A. horizontal'!$H19</f>
        <v>3.9729756131157892</v>
      </c>
      <c r="K19" s="250">
        <f>+'1.Estado Situación'!E19</f>
        <v>1017708255.7400001</v>
      </c>
      <c r="M19" s="226"/>
      <c r="P19" s="25"/>
      <c r="Q19" s="25"/>
      <c r="R19" s="25"/>
    </row>
    <row r="20" spans="1:18" s="17" customFormat="1" ht="15.75" thickBot="1">
      <c r="A20" s="405" t="str">
        <f>+'1.Estado Situación'!A20</f>
        <v>Total activos no corrientes</v>
      </c>
      <c r="B20" s="406">
        <f>+'1.Estado Situación'!B20</f>
        <v>2474086158.3399997</v>
      </c>
      <c r="C20" s="407">
        <f>+'5.A. horizontal'!$E20-'5.A. horizontal'!$B20</f>
        <v>133748072.34666729</v>
      </c>
      <c r="D20" s="408">
        <f>+'5.A. horizontal'!$C20/'5.A. horizontal'!$B20</f>
        <v>5.4059585554775594E-2</v>
      </c>
      <c r="E20" s="407">
        <f>+'1.Estado Situación'!C20</f>
        <v>2607834230.686667</v>
      </c>
      <c r="F20" s="407">
        <f>+'5.A. horizontal'!$H20-'5.A. horizontal'!$E20</f>
        <v>-216347754.14000034</v>
      </c>
      <c r="G20" s="408">
        <f>+'5.A. horizontal'!$F20/'5.A. horizontal'!$E20</f>
        <v>-8.2960700336782517E-2</v>
      </c>
      <c r="H20" s="407">
        <f>+'1.Estado Situación'!D20</f>
        <v>2391486476.5466666</v>
      </c>
      <c r="I20" s="407">
        <f>+'5.A. horizontal'!$K20-'5.A. horizontal'!$H20</f>
        <v>839788807.46666718</v>
      </c>
      <c r="J20" s="408">
        <f>+'5.A. horizontal'!$I20/'5.A. horizontal'!$H20</f>
        <v>0.3511576652021598</v>
      </c>
      <c r="K20" s="407">
        <f>+'1.Estado Situación'!E20</f>
        <v>3231275284.0133338</v>
      </c>
      <c r="M20" s="226"/>
      <c r="P20" s="25"/>
      <c r="Q20" s="25"/>
      <c r="R20" s="25"/>
    </row>
    <row r="21" spans="1:18" s="17" customFormat="1" ht="15.75" thickTop="1">
      <c r="A21" s="246" t="str">
        <f>+'1.Estado Situación'!A21</f>
        <v>Total activos</v>
      </c>
      <c r="B21" s="283">
        <f>+'1.Estado Situación'!B21</f>
        <v>6211975122.1466665</v>
      </c>
      <c r="C21" s="247">
        <f>+'5.A. horizontal'!$E21-'5.A. horizontal'!$B21</f>
        <v>-374899940.66666603</v>
      </c>
      <c r="D21" s="284">
        <f>+'5.A. horizontal'!$C21/'5.A. horizontal'!$B21</f>
        <v>-6.0351165820044718E-2</v>
      </c>
      <c r="E21" s="247">
        <f>+'1.Estado Situación'!C21</f>
        <v>5837075181.4800005</v>
      </c>
      <c r="F21" s="247">
        <f>+'5.A. horizontal'!$H21-'5.A. horizontal'!$E21</f>
        <v>-380669367.0933342</v>
      </c>
      <c r="G21" s="284">
        <f>+'5.A. horizontal'!$F21/'5.A. horizontal'!$E21</f>
        <v>-6.5215772498721666E-2</v>
      </c>
      <c r="H21" s="247">
        <f>+'1.Estado Situación'!D21</f>
        <v>5456405814.3866663</v>
      </c>
      <c r="I21" s="247">
        <f>+'5.A. horizontal'!$K21-'5.A. horizontal'!$H21</f>
        <v>-3822266.1533327103</v>
      </c>
      <c r="J21" s="284">
        <f>+'5.A. horizontal'!$I21/'5.A. horizontal'!$H21</f>
        <v>-7.0050987469713274E-4</v>
      </c>
      <c r="K21" s="247">
        <f>+'1.Estado Situación'!E21</f>
        <v>5452583548.2333336</v>
      </c>
      <c r="M21" s="226"/>
      <c r="P21" s="25"/>
      <c r="Q21" s="25"/>
      <c r="R21" s="25"/>
    </row>
    <row r="22" spans="1:18" s="17" customFormat="1">
      <c r="A22" s="243"/>
      <c r="B22" s="281"/>
      <c r="C22" s="238"/>
      <c r="D22" s="282"/>
      <c r="E22" s="238"/>
      <c r="F22" s="238"/>
      <c r="G22" s="282"/>
      <c r="H22" s="238"/>
      <c r="I22" s="238"/>
      <c r="J22" s="282"/>
      <c r="K22" s="238"/>
      <c r="M22" s="226"/>
      <c r="P22" s="25"/>
      <c r="Q22" s="25"/>
      <c r="R22" s="25"/>
    </row>
    <row r="23" spans="1:18" s="17" customFormat="1" ht="12.75">
      <c r="A23" s="243" t="str">
        <f>+'1.Estado Situación'!A23</f>
        <v>Cuentas por pagar</v>
      </c>
      <c r="B23" s="281">
        <f>+'1.Estado Situación'!B23</f>
        <v>2102845788.54</v>
      </c>
      <c r="C23" s="238">
        <f>+'5.A. horizontal'!$E23-'5.A. horizontal'!$B23</f>
        <v>-308826887.01333332</v>
      </c>
      <c r="D23" s="282">
        <f>+'5.A. horizontal'!$C23/'5.A. horizontal'!$B23</f>
        <v>-0.14686140500476308</v>
      </c>
      <c r="E23" s="238">
        <f>+'1.Estado Situación'!C23</f>
        <v>1794018901.5266666</v>
      </c>
      <c r="F23" s="238">
        <f>+'5.A. horizontal'!$H23-'5.A. horizontal'!$E23</f>
        <v>-275409252.96000004</v>
      </c>
      <c r="G23" s="282">
        <f>+'5.A. horizontal'!$F23/'5.A. horizontal'!$E23</f>
        <v>-0.15351524597964572</v>
      </c>
      <c r="H23" s="238">
        <f>+'1.Estado Situación'!D23</f>
        <v>1518609648.5666666</v>
      </c>
      <c r="I23" s="238">
        <f>+'5.A. horizontal'!$K23-'5.A. horizontal'!$H23</f>
        <v>327505894.82666683</v>
      </c>
      <c r="J23" s="282">
        <f>+'5.A. horizontal'!$I23/'5.A. horizontal'!$H23</f>
        <v>0.21566167127660615</v>
      </c>
      <c r="K23" s="238">
        <f>+'1.Estado Situación'!E23</f>
        <v>1846115543.3933334</v>
      </c>
    </row>
    <row r="24" spans="1:18" s="17" customFormat="1" ht="12.75">
      <c r="A24" s="243" t="str">
        <f>+'1.Estado Situación'!A24</f>
        <v>Reserva contratos ahorro y crédito corto plazo</v>
      </c>
      <c r="B24" s="281">
        <f>+'1.Estado Situación'!B24</f>
        <v>58834409.82</v>
      </c>
      <c r="C24" s="238">
        <f>+'5.A. horizontal'!$E24-'5.A. horizontal'!$B24</f>
        <v>-12120177.719999999</v>
      </c>
      <c r="D24" s="282">
        <f>+'5.A. horizontal'!$C24/'5.A. horizontal'!$B24</f>
        <v>-0.20600491714085148</v>
      </c>
      <c r="E24" s="238">
        <f>+'1.Estado Situación'!C24</f>
        <v>46714232.100000001</v>
      </c>
      <c r="F24" s="238">
        <f>+'5.A. horizontal'!$H24-'5.A. horizontal'!$E24</f>
        <v>1974697.5200000033</v>
      </c>
      <c r="G24" s="282">
        <f>+'5.A. horizontal'!$F24/'5.A. horizontal'!$E24</f>
        <v>4.2271860870426323E-2</v>
      </c>
      <c r="H24" s="238">
        <f>+'1.Estado Situación'!D24</f>
        <v>48688929.620000005</v>
      </c>
      <c r="I24" s="238">
        <f>+'5.A. horizontal'!$K24-'5.A. horizontal'!$H24</f>
        <v>-19943683.90666667</v>
      </c>
      <c r="J24" s="282">
        <f>+'5.A. horizontal'!$I24/'5.A. horizontal'!$H24</f>
        <v>-0.40961434277401698</v>
      </c>
      <c r="K24" s="238">
        <f>+'1.Estado Situación'!E24</f>
        <v>28745245.713333335</v>
      </c>
    </row>
    <row r="25" spans="1:18" s="17" customFormat="1" ht="12.75">
      <c r="A25" s="243" t="str">
        <f>+'1.Estado Situación'!A25</f>
        <v>Impuestos por pagar</v>
      </c>
      <c r="B25" s="281">
        <f>+'1.Estado Situación'!B25</f>
        <v>12411795.159999998</v>
      </c>
      <c r="C25" s="238">
        <f>+'5.A. horizontal'!$E25-'5.A. horizontal'!$B25</f>
        <v>-1600564.7666666657</v>
      </c>
      <c r="D25" s="282">
        <f>+'5.A. horizontal'!$C25/'5.A. horizontal'!$B25</f>
        <v>-0.12895513872359668</v>
      </c>
      <c r="E25" s="238">
        <f>+'1.Estado Situación'!C25</f>
        <v>10811230.393333333</v>
      </c>
      <c r="F25" s="238">
        <f>+'5.A. horizontal'!$H25-'5.A. horizontal'!$E25</f>
        <v>2400718.0133333337</v>
      </c>
      <c r="G25" s="282">
        <f>+'5.A. horizontal'!$F25/'5.A. horizontal'!$E25</f>
        <v>0.22205779786301835</v>
      </c>
      <c r="H25" s="238">
        <f>+'1.Estado Situación'!D25</f>
        <v>13211948.406666666</v>
      </c>
      <c r="I25" s="238">
        <f>+'5.A. horizontal'!$K25-'5.A. horizontal'!$H25</f>
        <v>12147293.933333334</v>
      </c>
      <c r="J25" s="282">
        <f>+'5.A. horizontal'!$I25/'5.A. horizontal'!$H25</f>
        <v>0.91941730011630118</v>
      </c>
      <c r="K25" s="238">
        <f>+'1.Estado Situación'!E25</f>
        <v>25359242.34</v>
      </c>
    </row>
    <row r="26" spans="1:18" s="17" customFormat="1" ht="12.75">
      <c r="A26" s="243" t="str">
        <f>+'1.Estado Situación'!A26</f>
        <v>Retenciones y aportes por pagar</v>
      </c>
      <c r="B26" s="281">
        <f>+'1.Estado Situación'!B26</f>
        <v>22519200.986666664</v>
      </c>
      <c r="C26" s="238">
        <f>+'5.A. horizontal'!$E26-'5.A. horizontal'!$B26</f>
        <v>-2954690.6866666637</v>
      </c>
      <c r="D26" s="282">
        <f>+'5.A. horizontal'!$C26/'5.A. horizontal'!$B26</f>
        <v>-0.13120761648764087</v>
      </c>
      <c r="E26" s="238">
        <f>+'1.Estado Situación'!C26</f>
        <v>19564510.300000001</v>
      </c>
      <c r="F26" s="238">
        <f>+'5.A. horizontal'!$H26-'5.A. horizontal'!$E26</f>
        <v>1673780.8399999999</v>
      </c>
      <c r="G26" s="282">
        <f>+'5.A. horizontal'!$F26/'5.A. horizontal'!$E26</f>
        <v>8.555189035321778E-2</v>
      </c>
      <c r="H26" s="238">
        <f>+'1.Estado Situación'!D26</f>
        <v>21238291.140000001</v>
      </c>
      <c r="I26" s="238">
        <f>+'5.A. horizontal'!$K26-'5.A. horizontal'!$H26</f>
        <v>481166.01333333179</v>
      </c>
      <c r="J26" s="282">
        <f>+'5.A. horizontal'!$I26/'5.A. horizontal'!$H26</f>
        <v>2.26555898570911E-2</v>
      </c>
      <c r="K26" s="238">
        <f>+'1.Estado Situación'!E26</f>
        <v>21719457.153333332</v>
      </c>
    </row>
    <row r="27" spans="1:18" s="17" customFormat="1" ht="12.75">
      <c r="A27" s="243" t="str">
        <f>+'1.Estado Situación'!A27</f>
        <v>Otras cuentas por pagar</v>
      </c>
      <c r="B27" s="281">
        <f>+'1.Estado Situación'!B27</f>
        <v>70055319.700000003</v>
      </c>
      <c r="C27" s="238">
        <f>+'5.A. horizontal'!$E27-'5.A. horizontal'!$B27</f>
        <v>-60247226.786666669</v>
      </c>
      <c r="D27" s="282">
        <f>+'5.A. horizontal'!$C27/'5.A. horizontal'!$B27</f>
        <v>-0.85999503027985846</v>
      </c>
      <c r="E27" s="238">
        <f>+'1.Estado Situación'!C27</f>
        <v>9808092.9133333322</v>
      </c>
      <c r="F27" s="238">
        <f>+'5.A. horizontal'!$H27-'5.A. horizontal'!$E27</f>
        <v>141888410.22</v>
      </c>
      <c r="G27" s="282">
        <f>+'5.A. horizontal'!$F27/'5.A. horizontal'!$E27</f>
        <v>14.466462692978148</v>
      </c>
      <c r="H27" s="238">
        <f>+'1.Estado Situación'!D27</f>
        <v>151696503.13333333</v>
      </c>
      <c r="I27" s="238">
        <f>+'5.A. horizontal'!$K27-'5.A. horizontal'!$H27</f>
        <v>-94200121.400000006</v>
      </c>
      <c r="J27" s="282">
        <f>+'5.A. horizontal'!$I27/'5.A. horizontal'!$H27</f>
        <v>-0.62097754038010355</v>
      </c>
      <c r="K27" s="238">
        <f>+'1.Estado Situación'!E27</f>
        <v>57496381.733333327</v>
      </c>
    </row>
    <row r="28" spans="1:18" s="17" customFormat="1" ht="12.75">
      <c r="A28" s="243" t="str">
        <f>+'1.Estado Situación'!A28</f>
        <v>Provisiones por pagar</v>
      </c>
      <c r="B28" s="281">
        <f>+'1.Estado Situación'!B28</f>
        <v>69011109.239999995</v>
      </c>
      <c r="C28" s="238">
        <f>+'5.A. horizontal'!$E28-'5.A. horizontal'!$B28</f>
        <v>1041797.5933333337</v>
      </c>
      <c r="D28" s="282">
        <f>+'5.A. horizontal'!$C28/'5.A. horizontal'!$B28</f>
        <v>1.5096085323165483E-2</v>
      </c>
      <c r="E28" s="238">
        <f>+'1.Estado Situación'!C28</f>
        <v>70052906.833333328</v>
      </c>
      <c r="F28" s="238">
        <f>+'5.A. horizontal'!$H28-'5.A. horizontal'!$E28</f>
        <v>-6478488.5733333305</v>
      </c>
      <c r="G28" s="282">
        <f>+'5.A. horizontal'!$F28/'5.A. horizontal'!$E28</f>
        <v>-9.2479939322812885E-2</v>
      </c>
      <c r="H28" s="238">
        <f>+'1.Estado Situación'!D28</f>
        <v>63574418.259999998</v>
      </c>
      <c r="I28" s="238">
        <f>+'5.A. horizontal'!$K28-'5.A. horizontal'!$H28</f>
        <v>-3937116.6599999964</v>
      </c>
      <c r="J28" s="282">
        <f>+'5.A. horizontal'!$I28/'5.A. horizontal'!$H28</f>
        <v>-6.192925972044902E-2</v>
      </c>
      <c r="K28" s="238">
        <f>+'1.Estado Situación'!E28</f>
        <v>59637301.600000001</v>
      </c>
    </row>
    <row r="29" spans="1:18" s="17" customFormat="1" ht="12.75">
      <c r="A29" s="249" t="str">
        <f>+'1.Estado Situación'!A29</f>
        <v>Reserva contratos ahorro y crédito largo plazo</v>
      </c>
      <c r="B29" s="285">
        <f>+'1.Estado Situación'!B29</f>
        <v>125023120.87333333</v>
      </c>
      <c r="C29" s="250">
        <f>+'5.A. horizontal'!$E29-'5.A. horizontal'!$B29</f>
        <v>-25755377.666666672</v>
      </c>
      <c r="D29" s="286">
        <f>+'5.A. horizontal'!$C29/'5.A. horizontal'!$B29</f>
        <v>-0.20600491722455583</v>
      </c>
      <c r="E29" s="250">
        <f>+'1.Estado Situación'!C29</f>
        <v>99267743.206666663</v>
      </c>
      <c r="F29" s="250">
        <f>+'5.A. horizontal'!$H29-'5.A. horizontal'!$E29</f>
        <v>4196232.1266666651</v>
      </c>
      <c r="G29" s="286">
        <f>+'5.A. horizontal'!$F29/'5.A. horizontal'!$E29</f>
        <v>4.2271859831954486E-2</v>
      </c>
      <c r="H29" s="250">
        <f>+'1.Estado Situación'!D29</f>
        <v>103463975.33333333</v>
      </c>
      <c r="I29" s="250">
        <f>+'5.A. horizontal'!$K29-'5.A. horizontal'!$H29</f>
        <v>19081545.866666675</v>
      </c>
      <c r="J29" s="286">
        <f>+'5.A. horizontal'!$I29/'5.A. horizontal'!$H29</f>
        <v>0.18442695445628321</v>
      </c>
      <c r="K29" s="250">
        <f>+'1.Estado Situación'!E29</f>
        <v>122545521.2</v>
      </c>
    </row>
    <row r="30" spans="1:18" s="17" customFormat="1" ht="13.5" thickBot="1">
      <c r="A30" s="405" t="str">
        <f>+'1.Estado Situación'!A30</f>
        <v>Pasivos sin costo</v>
      </c>
      <c r="B30" s="406">
        <f>+'1.Estado Situación'!B30</f>
        <v>2460700744.3200002</v>
      </c>
      <c r="C30" s="407">
        <f>+'5.A. horizontal'!$E30-'5.A. horizontal'!$B30</f>
        <v>-410463127.04666686</v>
      </c>
      <c r="D30" s="408">
        <f>+'5.A. horizontal'!$C30/'5.A. horizontal'!$B30</f>
        <v>-0.1668074136987738</v>
      </c>
      <c r="E30" s="407">
        <f>+'1.Estado Situación'!C30</f>
        <v>2050237617.2733333</v>
      </c>
      <c r="F30" s="407">
        <f>+'5.A. horizontal'!$H30-'5.A. horizontal'!$E30</f>
        <v>-129753902.81333351</v>
      </c>
      <c r="G30" s="408">
        <f>+'5.A. horizontal'!$F30/'5.A. horizontal'!$E30</f>
        <v>-6.3287251058195271E-2</v>
      </c>
      <c r="H30" s="407">
        <f>+'1.Estado Situación'!D30</f>
        <v>1920483714.4599998</v>
      </c>
      <c r="I30" s="407">
        <f>+'5.A. horizontal'!$K30-'5.A. horizontal'!$H30</f>
        <v>241134978.67333388</v>
      </c>
      <c r="J30" s="408">
        <f>+'5.A. horizontal'!$I30/'5.A. horizontal'!$H30</f>
        <v>0.12555950194096596</v>
      </c>
      <c r="K30" s="407">
        <f>+'1.Estado Situación'!E30</f>
        <v>2161618693.1333337</v>
      </c>
    </row>
    <row r="31" spans="1:18" s="17" customFormat="1" ht="13.5" thickTop="1">
      <c r="A31" s="246" t="str">
        <f>+'1.Estado Situación'!A31</f>
        <v>Activo neto</v>
      </c>
      <c r="B31" s="283">
        <f>+'1.Estado Situación'!B31</f>
        <v>3751274377.8266664</v>
      </c>
      <c r="C31" s="247">
        <f>+'5.A. horizontal'!$E31-'5.A. horizontal'!$B31</f>
        <v>35563186.380001068</v>
      </c>
      <c r="D31" s="284">
        <f>+'5.A. horizontal'!$C31/'5.A. horizontal'!$B31</f>
        <v>9.4802946407255111E-3</v>
      </c>
      <c r="E31" s="247">
        <f>+'1.Estado Situación'!C31</f>
        <v>3786837564.2066674</v>
      </c>
      <c r="F31" s="247">
        <f>+'5.A. horizontal'!$H31-'5.A. horizontal'!$E31</f>
        <v>-250915464.28000069</v>
      </c>
      <c r="G31" s="284">
        <f>+'5.A. horizontal'!$F31/'5.A. horizontal'!$E31</f>
        <v>-6.6259896292268569E-2</v>
      </c>
      <c r="H31" s="247">
        <f>+'1.Estado Situación'!D31</f>
        <v>3535922099.9266667</v>
      </c>
      <c r="I31" s="247">
        <f>+'5.A. horizontal'!$K31-'5.A. horizontal'!$H31</f>
        <v>-244957244.82666683</v>
      </c>
      <c r="J31" s="284">
        <f>+'5.A. horizontal'!$I31/'5.A. horizontal'!$H31</f>
        <v>-6.9276765127757517E-2</v>
      </c>
      <c r="K31" s="247">
        <f>+'1.Estado Situación'!E31</f>
        <v>3290964855.0999999</v>
      </c>
    </row>
    <row r="32" spans="1:18" s="17" customFormat="1" ht="12.75">
      <c r="A32" s="243"/>
      <c r="B32" s="281"/>
      <c r="C32" s="238"/>
      <c r="D32" s="238"/>
      <c r="E32" s="238"/>
      <c r="F32" s="238"/>
      <c r="G32" s="282"/>
      <c r="H32" s="238"/>
      <c r="I32" s="238"/>
      <c r="J32" s="282"/>
      <c r="K32" s="238"/>
    </row>
    <row r="33" spans="1:19" s="17" customFormat="1" ht="12.75">
      <c r="A33" s="243" t="str">
        <f>+'1.Estado Situación'!A33</f>
        <v>Préstamos por pagar corto plazo</v>
      </c>
      <c r="B33" s="281">
        <f>+'1.Estado Situación'!B33</f>
        <v>1171019031</v>
      </c>
      <c r="C33" s="238">
        <f>+'5.A. horizontal'!$E33-'5.A. horizontal'!$B33</f>
        <v>24326518.899999857</v>
      </c>
      <c r="D33" s="282">
        <f>+'5.A. horizontal'!$C33/'5.A. horizontal'!$B33</f>
        <v>2.0773803205594406E-2</v>
      </c>
      <c r="E33" s="238">
        <f>+'1.Estado Situación'!C33</f>
        <v>1195345549.8999999</v>
      </c>
      <c r="F33" s="238">
        <f>+'5.A. horizontal'!$H33-'5.A. horizontal'!$E33</f>
        <v>-533057365.51999986</v>
      </c>
      <c r="G33" s="282">
        <f>+'5.A. horizontal'!$F33/'5.A. horizontal'!$E33</f>
        <v>-0.44594415862810077</v>
      </c>
      <c r="H33" s="238">
        <f>+'1.Estado Situación'!D33</f>
        <v>662288184.38</v>
      </c>
      <c r="I33" s="238">
        <f>+'5.A. horizontal'!$K33-'5.A. horizontal'!$H33</f>
        <v>-442811445.51333332</v>
      </c>
      <c r="J33" s="282">
        <f>+'5.A. horizontal'!$I33/'5.A. horizontal'!$H33</f>
        <v>-0.66860840334615135</v>
      </c>
      <c r="K33" s="238">
        <f>+'1.Estado Situación'!E33</f>
        <v>219476738.86666667</v>
      </c>
    </row>
    <row r="34" spans="1:19" s="17" customFormat="1" ht="12.75">
      <c r="A34" s="243" t="str">
        <f>+'1.Estado Situación'!A34</f>
        <v>Préstamos por pagar largo plazo</v>
      </c>
      <c r="B34" s="281">
        <f>+'1.Estado Situación'!B34</f>
        <v>560762147.81333339</v>
      </c>
      <c r="C34" s="238">
        <f>+'5.A. horizontal'!$E34-'5.A. horizontal'!$B34</f>
        <v>-70572704.52666676</v>
      </c>
      <c r="D34" s="282">
        <f>+'5.A. horizontal'!$C34/'5.A. horizontal'!$B34</f>
        <v>-0.12585140563046529</v>
      </c>
      <c r="E34" s="238">
        <f>+'1.Estado Situación'!C34</f>
        <v>490189443.28666663</v>
      </c>
      <c r="F34" s="238">
        <f>+'5.A. horizontal'!$H34-'5.A. horizontal'!$E34</f>
        <v>270696850.07333338</v>
      </c>
      <c r="G34" s="282">
        <f>+'5.A. horizontal'!$F34/'5.A. horizontal'!$E34</f>
        <v>0.55222904895368741</v>
      </c>
      <c r="H34" s="238">
        <f>+'1.Estado Situación'!D34</f>
        <v>760886293.36000001</v>
      </c>
      <c r="I34" s="238">
        <f>+'5.A. horizontal'!$K34-'5.A. horizontal'!$H34</f>
        <v>148873839.83999991</v>
      </c>
      <c r="J34" s="282">
        <f>+'5.A. horizontal'!$I34/'5.A. horizontal'!$H34</f>
        <v>0.1956584592719991</v>
      </c>
      <c r="K34" s="238">
        <f>+'1.Estado Situación'!E34</f>
        <v>909760133.19999993</v>
      </c>
    </row>
    <row r="35" spans="1:19" s="17" customFormat="1" ht="12.75">
      <c r="A35" s="249" t="str">
        <f>+'1.Estado Situación'!A35</f>
        <v>Hipotecas por pagar</v>
      </c>
      <c r="B35" s="285">
        <f>+'1.Estado Situación'!B35</f>
        <v>0</v>
      </c>
      <c r="C35" s="250">
        <f>+'5.A. horizontal'!$E35-'5.A. horizontal'!$B35</f>
        <v>0</v>
      </c>
      <c r="D35" s="286" t="e">
        <f>+'5.A. horizontal'!$C35/'5.A. horizontal'!$B35</f>
        <v>#DIV/0!</v>
      </c>
      <c r="E35" s="250">
        <f>+'1.Estado Situación'!C35</f>
        <v>0</v>
      </c>
      <c r="F35" s="250">
        <f>+'5.A. horizontal'!$H35-'5.A. horizontal'!$E35</f>
        <v>0</v>
      </c>
      <c r="G35" s="286" t="e">
        <f>+'5.A. horizontal'!$F35/'5.A. horizontal'!$E35</f>
        <v>#DIV/0!</v>
      </c>
      <c r="H35" s="250">
        <f>+'1.Estado Situación'!D35</f>
        <v>0</v>
      </c>
      <c r="I35" s="250">
        <f>+'5.A. horizontal'!$K35-'5.A. horizontal'!$H35</f>
        <v>78671798.926666662</v>
      </c>
      <c r="J35" s="286">
        <v>1</v>
      </c>
      <c r="K35" s="250">
        <f>+'1.Estado Situación'!E35</f>
        <v>78671798.926666662</v>
      </c>
    </row>
    <row r="36" spans="1:19" s="17" customFormat="1" ht="13.5" thickBot="1">
      <c r="A36" s="405" t="str">
        <f>+'1.Estado Situación'!A36</f>
        <v>Pasivo con costo</v>
      </c>
      <c r="B36" s="406">
        <f>+'1.Estado Situación'!B36</f>
        <v>1731781178.8133335</v>
      </c>
      <c r="C36" s="407">
        <f>+'5.A. horizontal'!$E36-'5.A. horizontal'!$B36</f>
        <v>-46246185.626667023</v>
      </c>
      <c r="D36" s="408">
        <f>+'5.A. horizontal'!$C36/'5.A. horizontal'!$B36</f>
        <v>-2.6704404801509762E-2</v>
      </c>
      <c r="E36" s="407">
        <f>+'1.Estado Situación'!C36</f>
        <v>1685534993.1866665</v>
      </c>
      <c r="F36" s="407">
        <f>+'5.A. horizontal'!$H36-'5.A. horizontal'!$E36</f>
        <v>-262360515.44666648</v>
      </c>
      <c r="G36" s="408">
        <f>+'5.A. horizontal'!$F36/'5.A. horizontal'!$E36</f>
        <v>-0.15565414928031165</v>
      </c>
      <c r="H36" s="407">
        <f>+'1.Estado Situación'!D36</f>
        <v>1423174477.74</v>
      </c>
      <c r="I36" s="407">
        <f>+'5.A. horizontal'!$K36-'5.A. horizontal'!$H36</f>
        <v>-215265806.74666667</v>
      </c>
      <c r="J36" s="408">
        <f>+'5.A. horizontal'!$I36/'5.A. horizontal'!$H36</f>
        <v>-0.15125749520783185</v>
      </c>
      <c r="K36" s="407">
        <f>+'1.Estado Situación'!E36</f>
        <v>1207908670.9933333</v>
      </c>
    </row>
    <row r="37" spans="1:19" s="17" customFormat="1" ht="13.5" thickTop="1">
      <c r="A37" s="246" t="str">
        <f>+'1.Estado Situación'!A37</f>
        <v>Total pasivo</v>
      </c>
      <c r="B37" s="283">
        <f>+'1.Estado Situación'!B37</f>
        <v>4192481923.1333337</v>
      </c>
      <c r="C37" s="247">
        <f>+'5.A. horizontal'!$E37-'5.A. horizontal'!$B37</f>
        <v>-456709312.67333412</v>
      </c>
      <c r="D37" s="284">
        <f>+'5.A. horizontal'!$C37/'5.A. horizontal'!$B37</f>
        <v>-0.10893530873759939</v>
      </c>
      <c r="E37" s="247">
        <f>+'1.Estado Situación'!C37</f>
        <v>3735772610.4599996</v>
      </c>
      <c r="F37" s="247">
        <f>+'5.A. horizontal'!$H37-'5.A. horizontal'!$E37</f>
        <v>-392114418.26000023</v>
      </c>
      <c r="G37" s="284">
        <f>+'5.A. horizontal'!$F37/'5.A. horizontal'!$E37</f>
        <v>-0.10496206786304312</v>
      </c>
      <c r="H37" s="247">
        <f>+'1.Estado Situación'!D37</f>
        <v>3343658192.1999993</v>
      </c>
      <c r="I37" s="247">
        <f>+'5.A. horizontal'!$K37-'5.A. horizontal'!$H37</f>
        <v>25869171.92666769</v>
      </c>
      <c r="J37" s="284">
        <f>+'5.A. horizontal'!$I37/'5.A. horizontal'!$H37</f>
        <v>7.7367872072015721E-3</v>
      </c>
      <c r="K37" s="247">
        <f>+'1.Estado Situación'!E37</f>
        <v>3369527364.126667</v>
      </c>
    </row>
    <row r="38" spans="1:19" s="17" customFormat="1" ht="12.75">
      <c r="A38" s="409"/>
      <c r="B38" s="281"/>
      <c r="C38" s="238"/>
      <c r="D38" s="282"/>
      <c r="E38" s="238"/>
      <c r="F38" s="238"/>
      <c r="G38" s="282"/>
      <c r="H38" s="238"/>
      <c r="I38" s="238"/>
      <c r="J38" s="282"/>
      <c r="K38" s="238"/>
    </row>
    <row r="39" spans="1:19" s="17" customFormat="1" ht="12.75">
      <c r="A39" s="246" t="str">
        <f>+'1.Estado Situación'!A39</f>
        <v>Patrimonio</v>
      </c>
      <c r="B39" s="281"/>
      <c r="C39" s="238"/>
      <c r="D39" s="282"/>
      <c r="E39" s="238"/>
      <c r="F39" s="238"/>
      <c r="G39" s="282"/>
      <c r="H39" s="238"/>
      <c r="I39" s="238"/>
      <c r="J39" s="282"/>
      <c r="K39" s="238"/>
    </row>
    <row r="40" spans="1:19" s="17" customFormat="1" ht="12.75">
      <c r="A40" s="243" t="str">
        <f>+'1.Estado Situación'!A40</f>
        <v>Capital acciones</v>
      </c>
      <c r="B40" s="281">
        <f>+'1.Estado Situación'!B40</f>
        <v>1182866666.6666667</v>
      </c>
      <c r="C40" s="238">
        <f>+'5.A. horizontal'!$E40-'5.A. horizontal'!$B40</f>
        <v>0</v>
      </c>
      <c r="D40" s="282">
        <f>+'5.A. horizontal'!$C40/'5.A. horizontal'!$B40</f>
        <v>0</v>
      </c>
      <c r="E40" s="238">
        <f>+'1.Estado Situación'!C40</f>
        <v>1182866666.6666667</v>
      </c>
      <c r="F40" s="238">
        <f>+'5.A. horizontal'!$H40-'5.A. horizontal'!$E40</f>
        <v>0</v>
      </c>
      <c r="G40" s="282">
        <f>+'5.A. horizontal'!$F40/'5.A. horizontal'!$E40</f>
        <v>0</v>
      </c>
      <c r="H40" s="238">
        <f>+'1.Estado Situación'!D40</f>
        <v>1182866666.6666667</v>
      </c>
      <c r="I40" s="238">
        <f>+'5.A. horizontal'!$K40-'5.A. horizontal'!$H40</f>
        <v>0</v>
      </c>
      <c r="J40" s="282">
        <f>+'5.A. horizontal'!$I40/'5.A. horizontal'!$H40</f>
        <v>0</v>
      </c>
      <c r="K40" s="238">
        <f>+'1.Estado Situación'!E40</f>
        <v>1182866666.6666667</v>
      </c>
    </row>
    <row r="41" spans="1:19" s="17" customFormat="1" ht="12.75">
      <c r="A41" s="243" t="str">
        <f>+'1.Estado Situación'!A41</f>
        <v>Reserva legal</v>
      </c>
      <c r="B41" s="281">
        <f>+'1.Estado Situación'!B41</f>
        <v>10645789.033333333</v>
      </c>
      <c r="C41" s="238">
        <f>+'5.A. horizontal'!$E41-'5.A. horizontal'!$B41</f>
        <v>8540064.5600000005</v>
      </c>
      <c r="D41" s="282">
        <f>+'5.A. horizontal'!$C41/'5.A. horizontal'!$B41</f>
        <v>0.80220118332797707</v>
      </c>
      <c r="E41" s="238">
        <f>+'1.Estado Situación'!C41</f>
        <v>19185853.593333334</v>
      </c>
      <c r="F41" s="238">
        <f>+'5.A. horizontal'!$H41-'5.A. horizontal'!$E41</f>
        <v>1830444.0599999987</v>
      </c>
      <c r="G41" s="282">
        <f>+'5.A. horizontal'!$F41/'5.A. horizontal'!$E41</f>
        <v>9.5405922446736388E-2</v>
      </c>
      <c r="H41" s="238">
        <f>+'1.Estado Situación'!D41</f>
        <v>21016297.653333332</v>
      </c>
      <c r="I41" s="238">
        <f>+'5.A. horizontal'!$K41-'5.A. horizontal'!$H41</f>
        <v>5784456.2733333334</v>
      </c>
      <c r="J41" s="282">
        <f>+'5.A. horizontal'!$I41/'5.A. horizontal'!$H41</f>
        <v>0.27523669338666212</v>
      </c>
      <c r="K41" s="238">
        <f>+'1.Estado Situación'!E41</f>
        <v>26800753.926666666</v>
      </c>
    </row>
    <row r="42" spans="1:19" s="17" customFormat="1" ht="12.75">
      <c r="A42" s="243" t="str">
        <f>+'1.Estado Situación'!A42</f>
        <v xml:space="preserve">Superavti por revaluación </v>
      </c>
      <c r="B42" s="281">
        <f>+'1.Estado Situación'!B42</f>
        <v>730555206.85333335</v>
      </c>
      <c r="C42" s="238">
        <f>+'5.A. horizontal'!$E42-'5.A. horizontal'!$B42</f>
        <v>0</v>
      </c>
      <c r="D42" s="282">
        <f>+'5.A. horizontal'!$C42/'5.A. horizontal'!$B42</f>
        <v>0</v>
      </c>
      <c r="E42" s="238">
        <f>+'1.Estado Situación'!C42</f>
        <v>730555206.85333335</v>
      </c>
      <c r="F42" s="238">
        <f>+'5.A. horizontal'!$H42-'5.A. horizontal'!$E42</f>
        <v>0</v>
      </c>
      <c r="G42" s="282">
        <f>+'5.A. horizontal'!$F42/'5.A. horizontal'!$E42</f>
        <v>0</v>
      </c>
      <c r="H42" s="238">
        <f>+'1.Estado Situación'!D42</f>
        <v>730555206.85333335</v>
      </c>
      <c r="I42" s="238">
        <f>+'5.A. horizontal'!$K42-'5.A. horizontal'!$H42</f>
        <v>0</v>
      </c>
      <c r="J42" s="282">
        <f>+'5.A. horizontal'!$I42/'5.A. horizontal'!$H42</f>
        <v>0</v>
      </c>
      <c r="K42" s="238">
        <f>+'1.Estado Situación'!E42</f>
        <v>730555206.85333335</v>
      </c>
    </row>
    <row r="43" spans="1:19" s="17" customFormat="1" ht="12.75">
      <c r="A43" s="249" t="str">
        <f>+'1.Estado Situación'!A43</f>
        <v>Utilidades</v>
      </c>
      <c r="B43" s="285">
        <f>+'1.Estado Situación'!B43</f>
        <v>95425536.459999993</v>
      </c>
      <c r="C43" s="250">
        <f>+'5.A. horizontal'!$E43-'5.A. horizontal'!$B43</f>
        <v>73269307.446666673</v>
      </c>
      <c r="D43" s="286">
        <f>+'5.A. horizontal'!$C43/'5.A. horizontal'!$B43</f>
        <v>0.7678165632045395</v>
      </c>
      <c r="E43" s="250">
        <f>+'1.Estado Situación'!C43</f>
        <v>168694843.90666667</v>
      </c>
      <c r="F43" s="250">
        <f>+'5.A. horizontal'!$H43-'5.A. horizontal'!$E43</f>
        <v>9614607.1066666543</v>
      </c>
      <c r="G43" s="286">
        <f>+'5.A. horizontal'!$F43/'5.A. horizontal'!$E43</f>
        <v>5.699407808804223E-2</v>
      </c>
      <c r="H43" s="250">
        <f>+'1.Estado Situación'!D43</f>
        <v>178309451.01333332</v>
      </c>
      <c r="I43" s="250">
        <f>+'5.A. horizontal'!$K43-'5.A. horizontal'!$H43</f>
        <v>-35475894.353333324</v>
      </c>
      <c r="J43" s="286">
        <f>+'5.A. horizontal'!$I43/'5.A. horizontal'!$H43</f>
        <v>-0.19895689292812957</v>
      </c>
      <c r="K43" s="250">
        <f>+'1.Estado Situación'!E43</f>
        <v>142833556.66</v>
      </c>
    </row>
    <row r="44" spans="1:19" s="17" customFormat="1" ht="13.5" thickBot="1">
      <c r="A44" s="405" t="str">
        <f>+'1.Estado Situación'!A44</f>
        <v>Total patrimonio</v>
      </c>
      <c r="B44" s="406">
        <f>+'1.Estado Situación'!B44</f>
        <v>2019493199.0133333</v>
      </c>
      <c r="C44" s="407">
        <f>+'5.A. horizontal'!$E44-'5.A. horizontal'!$B44</f>
        <v>81809372.006666899</v>
      </c>
      <c r="D44" s="408">
        <f>+'5.A. horizontal'!$C44/'5.A. horizontal'!$B44</f>
        <v>4.0509852693060129E-2</v>
      </c>
      <c r="E44" s="407">
        <f>+'1.Estado Situación'!C44</f>
        <v>2101302571.0200002</v>
      </c>
      <c r="F44" s="407">
        <f>+'5.A. horizontal'!$H44-'5.A. horizontal'!$E44</f>
        <v>11445051.166666508</v>
      </c>
      <c r="G44" s="408">
        <f>+'5.A. horizontal'!$F44/'5.A. horizontal'!$E44</f>
        <v>5.4466459635610339E-3</v>
      </c>
      <c r="H44" s="407">
        <f>+'1.Estado Situación'!D44</f>
        <v>2112747622.1866667</v>
      </c>
      <c r="I44" s="407">
        <f>+'5.A. horizontal'!$K44-'5.A. horizontal'!$H44</f>
        <v>-29691438.080000162</v>
      </c>
      <c r="J44" s="408">
        <f>+'5.A. horizontal'!$I44/'5.A. horizontal'!$H44</f>
        <v>-1.4053471303529337E-2</v>
      </c>
      <c r="K44" s="407">
        <f>+'1.Estado Situación'!E44</f>
        <v>2083056184.1066666</v>
      </c>
    </row>
    <row r="45" spans="1:19" s="17" customFormat="1" ht="13.5" thickTop="1">
      <c r="A45" s="246" t="str">
        <f>+'1.Estado Situación'!A45</f>
        <v>Total pasivo y patrimonio</v>
      </c>
      <c r="B45" s="283">
        <f>+'1.Estado Situación'!B45</f>
        <v>3751274377.8266664</v>
      </c>
      <c r="C45" s="247">
        <f>+'5.A. horizontal'!$E45-'5.A. horizontal'!$B45</f>
        <v>35563186.380000114</v>
      </c>
      <c r="D45" s="284">
        <f>+'5.A. horizontal'!$C45/'5.A. horizontal'!$B45</f>
        <v>9.4802946407252561E-3</v>
      </c>
      <c r="E45" s="247">
        <f>+'1.Estado Situación'!C45</f>
        <v>3786837564.2066665</v>
      </c>
      <c r="F45" s="247">
        <f>+'5.A. horizontal'!$H45-'5.A. horizontal'!$E45</f>
        <v>-250915464.27999973</v>
      </c>
      <c r="G45" s="284">
        <f>+'5.A. horizontal'!$F45/'5.A. horizontal'!$E45</f>
        <v>-6.6259896292268333E-2</v>
      </c>
      <c r="H45" s="247">
        <f>+'1.Estado Situación'!D45</f>
        <v>3535922099.9266667</v>
      </c>
      <c r="I45" s="247">
        <f>+'5.A. horizontal'!$K45-'5.A. horizontal'!$H45</f>
        <v>-244957244.82666683</v>
      </c>
      <c r="J45" s="284">
        <f>+'5.A. horizontal'!$I45/'5.A. horizontal'!$H45</f>
        <v>-6.9276765127757517E-2</v>
      </c>
      <c r="K45" s="247">
        <f>+'1.Estado Situación'!E45</f>
        <v>3290964855.0999999</v>
      </c>
    </row>
    <row r="46" spans="1:19" s="17" customFormat="1" ht="12.75">
      <c r="A46" s="410"/>
      <c r="B46" s="411">
        <f>+B45-B31</f>
        <v>0</v>
      </c>
      <c r="C46" s="411"/>
      <c r="D46" s="411"/>
      <c r="E46" s="411">
        <f t="shared" ref="E46:K46" si="0">+E45-E31</f>
        <v>0</v>
      </c>
      <c r="F46" s="411"/>
      <c r="G46" s="411"/>
      <c r="H46" s="411">
        <f t="shared" si="0"/>
        <v>0</v>
      </c>
      <c r="I46" s="411"/>
      <c r="J46" s="411">
        <f>+J45-J31</f>
        <v>0</v>
      </c>
      <c r="K46" s="411">
        <f t="shared" si="0"/>
        <v>0</v>
      </c>
    </row>
    <row r="47" spans="1:19">
      <c r="A47" s="17"/>
      <c r="B47" s="17"/>
      <c r="C47" s="25"/>
      <c r="D47" s="17"/>
      <c r="E47" s="25"/>
      <c r="G47" s="25"/>
      <c r="J47" s="25"/>
      <c r="N47" s="17"/>
      <c r="O47" s="17"/>
      <c r="P47" s="25"/>
      <c r="Q47" s="25"/>
      <c r="R47" s="25"/>
      <c r="S47" s="17"/>
    </row>
    <row r="48" spans="1:19">
      <c r="A48" s="17"/>
      <c r="B48" s="17"/>
      <c r="C48" s="25"/>
      <c r="D48" s="17"/>
      <c r="E48" s="25"/>
      <c r="G48" s="25"/>
      <c r="J48" s="25"/>
      <c r="N48" s="17"/>
      <c r="O48" s="17"/>
      <c r="P48" s="25"/>
      <c r="Q48" s="25"/>
      <c r="R48" s="25"/>
      <c r="S48" s="17"/>
    </row>
    <row r="49" spans="1:11">
      <c r="C49" s="32">
        <f>+C44-E68</f>
        <v>-5.5134296417236328E-7</v>
      </c>
      <c r="F49" s="32">
        <f>+F44-H68</f>
        <v>1.3969838619232178E-7</v>
      </c>
      <c r="I49" s="32">
        <f>+I44-K68</f>
        <v>-141513532.5866667</v>
      </c>
    </row>
    <row r="50" spans="1:11">
      <c r="A50" s="20" t="s">
        <v>193</v>
      </c>
      <c r="B50" s="20"/>
      <c r="C50" s="20"/>
      <c r="D50" s="20"/>
      <c r="E50" s="20"/>
      <c r="F50" s="20"/>
      <c r="G50" s="20"/>
      <c r="H50" s="20"/>
      <c r="I50" s="20"/>
      <c r="J50" s="20"/>
      <c r="K50" s="21"/>
    </row>
    <row r="51" spans="1:11">
      <c r="A51" s="20" t="s">
        <v>179</v>
      </c>
      <c r="B51" s="20"/>
      <c r="C51" s="20"/>
      <c r="D51" s="20"/>
      <c r="E51" s="20"/>
      <c r="F51" s="20"/>
      <c r="G51" s="20"/>
      <c r="H51" s="20"/>
      <c r="I51" s="20"/>
      <c r="J51" s="20"/>
      <c r="K51" s="21"/>
    </row>
    <row r="52" spans="1:11">
      <c r="A52" s="22" t="s">
        <v>2</v>
      </c>
      <c r="B52" s="22"/>
      <c r="C52" s="22"/>
      <c r="D52" s="22"/>
      <c r="E52" s="22"/>
      <c r="F52" s="22"/>
      <c r="G52" s="22"/>
      <c r="H52" s="22"/>
      <c r="I52" s="22"/>
      <c r="J52" s="22"/>
      <c r="K52" s="23"/>
    </row>
    <row r="53" spans="1:11">
      <c r="A53" s="22"/>
      <c r="B53" s="22"/>
      <c r="C53" s="22"/>
      <c r="D53" s="22"/>
      <c r="E53" s="22"/>
      <c r="F53" s="22"/>
      <c r="G53" s="22"/>
      <c r="H53" s="22"/>
      <c r="I53" s="22"/>
      <c r="J53" s="22"/>
      <c r="K53" s="23"/>
    </row>
    <row r="54" spans="1:11">
      <c r="C54" s="527" t="s">
        <v>177</v>
      </c>
      <c r="D54" s="528"/>
      <c r="E54" s="15"/>
      <c r="F54" s="527" t="s">
        <v>177</v>
      </c>
      <c r="G54" s="528"/>
      <c r="H54" s="15"/>
      <c r="I54" s="527" t="s">
        <v>177</v>
      </c>
      <c r="J54" s="528"/>
      <c r="K54" s="15"/>
    </row>
    <row r="55" spans="1:11">
      <c r="A55" s="148"/>
      <c r="B55" s="149">
        <v>39721</v>
      </c>
      <c r="C55" s="150" t="s">
        <v>176</v>
      </c>
      <c r="D55" s="150" t="s">
        <v>116</v>
      </c>
      <c r="E55" s="149">
        <v>40086</v>
      </c>
      <c r="F55" s="150" t="s">
        <v>176</v>
      </c>
      <c r="G55" s="150" t="s">
        <v>116</v>
      </c>
      <c r="H55" s="149">
        <v>40451</v>
      </c>
      <c r="I55" s="150" t="s">
        <v>176</v>
      </c>
      <c r="J55" s="150" t="s">
        <v>116</v>
      </c>
      <c r="K55" s="149">
        <v>40816</v>
      </c>
    </row>
    <row r="56" spans="1:11">
      <c r="A56" s="17" t="s">
        <v>3</v>
      </c>
      <c r="B56" s="25">
        <f>+'2.Estado Resultados'!B8</f>
        <v>16522423948.166666</v>
      </c>
      <c r="C56" s="25">
        <f>+AHER[[#This Row],[Column4]]-AHER[[#This Row],[Column2]]</f>
        <v>-2268695004.6133308</v>
      </c>
      <c r="D56" s="30">
        <f>+AHER[[#This Row],[Column10]]/AHER[[#This Row],[Column2]]</f>
        <v>-0.13731005884672667</v>
      </c>
      <c r="E56" s="25">
        <f>+'2.Estado Resultados'!C8</f>
        <v>14253728943.553335</v>
      </c>
      <c r="F56" s="25">
        <f>+AHER[[#This Row],[Column6]]-AHER[[#This Row],[Column4]]</f>
        <v>-3078508332.5600014</v>
      </c>
      <c r="G56" s="30">
        <f>+AHER[[#This Row],[Column11]]/AHER[[#This Row],[Column4]]</f>
        <v>-0.21597915498121961</v>
      </c>
      <c r="H56" s="25">
        <f>+'2.Estado Resultados'!D8</f>
        <v>11175220610.993334</v>
      </c>
      <c r="I56" s="25">
        <f>+AHER[[#This Row],[Column8]]-AHER[[#This Row],[Column6]]</f>
        <v>-1222844550.2600002</v>
      </c>
      <c r="J56" s="30">
        <f>+AHER[[#This Row],[Column12]]/AHER[[#This Row],[Column6]]</f>
        <v>-0.10942464518839642</v>
      </c>
      <c r="K56" s="26">
        <f>+'2.Estado Resultados'!E8</f>
        <v>9952376060.7333336</v>
      </c>
    </row>
    <row r="57" spans="1:11" ht="15.75" thickBot="1">
      <c r="A57" s="157" t="s">
        <v>4</v>
      </c>
      <c r="B57" s="155">
        <f>+'2.Estado Resultados'!B9</f>
        <v>14149080687.706667</v>
      </c>
      <c r="C57" s="155">
        <f>+AHER[[#This Row],[Column4]]-AHER[[#This Row],[Column2]]</f>
        <v>-2254152311.1333332</v>
      </c>
      <c r="D57" s="160">
        <f>+AHER[[#This Row],[Column10]]/AHER[[#This Row],[Column2]]</f>
        <v>-0.15931440076469691</v>
      </c>
      <c r="E57" s="155">
        <f>+'2.Estado Resultados'!C9</f>
        <v>11894928376.573334</v>
      </c>
      <c r="F57" s="155">
        <f>+AHER[[#This Row],[Column6]]-AHER[[#This Row],[Column4]]</f>
        <v>-2554272067.7933331</v>
      </c>
      <c r="G57" s="160">
        <f>+AHER[[#This Row],[Column11]]/AHER[[#This Row],[Column4]]</f>
        <v>-0.2147362293348388</v>
      </c>
      <c r="H57" s="155">
        <f>+'2.Estado Resultados'!D9</f>
        <v>9340656308.7800007</v>
      </c>
      <c r="I57" s="155">
        <f>+AHER[[#This Row],[Column8]]-AHER[[#This Row],[Column6]]</f>
        <v>-1066861829.5933332</v>
      </c>
      <c r="J57" s="160">
        <f>+AHER[[#This Row],[Column12]]/AHER[[#This Row],[Column6]]</f>
        <v>-0.11421700941833261</v>
      </c>
      <c r="K57" s="158">
        <f>+'2.Estado Resultados'!E9</f>
        <v>8273794479.1866674</v>
      </c>
    </row>
    <row r="58" spans="1:11" ht="15.75" thickTop="1">
      <c r="A58" s="27" t="s">
        <v>5</v>
      </c>
      <c r="B58" s="28">
        <f>+'2.Estado Resultados'!B10</f>
        <v>2373343260.4599991</v>
      </c>
      <c r="C58" s="28">
        <f>+AHER[[#This Row],[Column4]]-AHER[[#This Row],[Column2]]</f>
        <v>-14542693.479998112</v>
      </c>
      <c r="D58" s="142">
        <f>+AHER[[#This Row],[Column10]]/AHER[[#This Row],[Column2]]</f>
        <v>-6.1275137576093652E-3</v>
      </c>
      <c r="E58" s="28">
        <f>+'2.Estado Resultados'!C10</f>
        <v>2358800566.980001</v>
      </c>
      <c r="F58" s="28">
        <f>+AHER[[#This Row],[Column6]]-AHER[[#This Row],[Column4]]</f>
        <v>-524236264.76666784</v>
      </c>
      <c r="G58" s="142">
        <f>+AHER[[#This Row],[Column11]]/AHER[[#This Row],[Column4]]</f>
        <v>-0.22224696403132269</v>
      </c>
      <c r="H58" s="28">
        <f>+'2.Estado Resultados'!D10</f>
        <v>1834564302.2133331</v>
      </c>
      <c r="I58" s="28">
        <f>+AHER[[#This Row],[Column8]]-AHER[[#This Row],[Column6]]</f>
        <v>-155982720.66666675</v>
      </c>
      <c r="J58" s="142">
        <f>+AHER[[#This Row],[Column12]]/AHER[[#This Row],[Column6]]</f>
        <v>-8.5024395426466892E-2</v>
      </c>
      <c r="K58" s="29">
        <f>+'2.Estado Resultados'!E10</f>
        <v>1678581581.5466664</v>
      </c>
    </row>
    <row r="59" spans="1:11">
      <c r="A59" s="17" t="s">
        <v>6</v>
      </c>
      <c r="B59" s="25">
        <f>+'2.Estado Resultados'!B11</f>
        <v>1209005884.9866667</v>
      </c>
      <c r="C59" s="25">
        <f>+AHER[[#This Row],[Column4]]-AHER[[#This Row],[Column2]]</f>
        <v>8697149.3666665554</v>
      </c>
      <c r="D59" s="30">
        <f>+AHER[[#This Row],[Column10]]/AHER[[#This Row],[Column2]]</f>
        <v>7.1936369166329334E-3</v>
      </c>
      <c r="E59" s="25">
        <f>+'2.Estado Resultados'!C11</f>
        <v>1217703034.3533332</v>
      </c>
      <c r="F59" s="25">
        <f>+AHER[[#This Row],[Column6]]-AHER[[#This Row],[Column4]]</f>
        <v>-140509776.43333316</v>
      </c>
      <c r="G59" s="30">
        <f>+AHER[[#This Row],[Column11]]/AHER[[#This Row],[Column4]]</f>
        <v>-0.11538919791552586</v>
      </c>
      <c r="H59" s="25">
        <f>+'2.Estado Resultados'!D11</f>
        <v>1077193257.9200001</v>
      </c>
      <c r="I59" s="25">
        <f>+AHER[[#This Row],[Column8]]-AHER[[#This Row],[Column6]]</f>
        <v>-97979841.713333488</v>
      </c>
      <c r="J59" s="30">
        <f>+AHER[[#This Row],[Column12]]/AHER[[#This Row],[Column6]]</f>
        <v>-9.0958461717934522E-2</v>
      </c>
      <c r="K59" s="26">
        <f>+'2.Estado Resultados'!E11</f>
        <v>979213416.20666659</v>
      </c>
    </row>
    <row r="60" spans="1:11" ht="15.75" thickBot="1">
      <c r="A60" s="157" t="s">
        <v>7</v>
      </c>
      <c r="B60" s="155">
        <f>+'2.Estado Resultados'!B12</f>
        <v>782452723.44666672</v>
      </c>
      <c r="C60" s="155">
        <f>+AHER[[#This Row],[Column4]]-AHER[[#This Row],[Column2]]</f>
        <v>-45872722.50666666</v>
      </c>
      <c r="D60" s="160">
        <f>+AHER[[#This Row],[Column10]]/AHER[[#This Row],[Column2]]</f>
        <v>-5.8626829624414262E-2</v>
      </c>
      <c r="E60" s="155">
        <f>+'2.Estado Resultados'!C12</f>
        <v>736580000.94000006</v>
      </c>
      <c r="F60" s="155">
        <f>+AHER[[#This Row],[Column6]]-AHER[[#This Row],[Column4]]</f>
        <v>-49133722.046666741</v>
      </c>
      <c r="G60" s="160">
        <f>+AHER[[#This Row],[Column11]]/AHER[[#This Row],[Column4]]</f>
        <v>-6.670520783073644E-2</v>
      </c>
      <c r="H60" s="155">
        <f>+'2.Estado Resultados'!D12</f>
        <v>687446278.89333332</v>
      </c>
      <c r="I60" s="155">
        <f>+AHER[[#This Row],[Column8]]-AHER[[#This Row],[Column6]]</f>
        <v>-73025073.566666603</v>
      </c>
      <c r="J60" s="160">
        <f>+AHER[[#This Row],[Column12]]/AHER[[#This Row],[Column6]]</f>
        <v>-0.10622658934778734</v>
      </c>
      <c r="K60" s="158">
        <f>+'2.Estado Resultados'!E12</f>
        <v>614421205.32666671</v>
      </c>
    </row>
    <row r="61" spans="1:11" ht="15.75" thickTop="1">
      <c r="A61" s="27" t="s">
        <v>8</v>
      </c>
      <c r="B61" s="28">
        <f>+'2.Estado Resultados'!B13</f>
        <v>381884652.02666569</v>
      </c>
      <c r="C61" s="28">
        <f>+AHER[[#This Row],[Column4]]-AHER[[#This Row],[Column2]]</f>
        <v>22632879.660001755</v>
      </c>
      <c r="D61" s="142">
        <f>+AHER[[#This Row],[Column10]]/AHER[[#This Row],[Column2]]</f>
        <v>5.926627200095326E-2</v>
      </c>
      <c r="E61" s="28">
        <f>+'2.Estado Resultados'!C13</f>
        <v>404517531.68666744</v>
      </c>
      <c r="F61" s="28">
        <f>+AHER[[#This Row],[Column6]]-AHER[[#This Row],[Column4]]</f>
        <v>-334592766.28666776</v>
      </c>
      <c r="G61" s="142">
        <f>+AHER[[#This Row],[Column11]]/AHER[[#This Row],[Column4]]</f>
        <v>-0.82714033404573861</v>
      </c>
      <c r="H61" s="28">
        <f>+'2.Estado Resultados'!D13</f>
        <v>69924765.399999693</v>
      </c>
      <c r="I61" s="28">
        <f>+AHER[[#This Row],[Column8]]-AHER[[#This Row],[Column6]]</f>
        <v>15022194.613333464</v>
      </c>
      <c r="J61" s="142">
        <f>+AHER[[#This Row],[Column12]]/AHER[[#This Row],[Column6]]</f>
        <v>0.21483367913213663</v>
      </c>
      <c r="K61" s="29">
        <f>+'2.Estado Resultados'!E13</f>
        <v>84946960.013333157</v>
      </c>
    </row>
    <row r="62" spans="1:11">
      <c r="A62" s="17" t="s">
        <v>9</v>
      </c>
      <c r="B62" s="25">
        <f>+'2.Estado Resultados'!B14</f>
        <v>301633125.56</v>
      </c>
      <c r="C62" s="25">
        <f>+AHER[[#This Row],[Column4]]-AHER[[#This Row],[Column2]]</f>
        <v>37782976.833333313</v>
      </c>
      <c r="D62" s="30">
        <f>+AHER[[#This Row],[Column10]]/AHER[[#This Row],[Column2]]</f>
        <v>0.12526136432524429</v>
      </c>
      <c r="E62" s="25">
        <f>+'2.Estado Resultados'!C14</f>
        <v>339416102.39333332</v>
      </c>
      <c r="F62" s="25">
        <f>+AHER[[#This Row],[Column6]]-AHER[[#This Row],[Column4]]</f>
        <v>-181620221.79999998</v>
      </c>
      <c r="G62" s="30">
        <f>+AHER[[#This Row],[Column11]]/AHER[[#This Row],[Column4]]</f>
        <v>-0.53509606798067844</v>
      </c>
      <c r="H62" s="25">
        <f>+'2.Estado Resultados'!D14</f>
        <v>157795880.59333333</v>
      </c>
      <c r="I62" s="25">
        <f>+AHER[[#This Row],[Column8]]-AHER[[#This Row],[Column6]]</f>
        <v>80382460.339999974</v>
      </c>
      <c r="J62" s="30">
        <f>+AHER[[#This Row],[Column12]]/AHER[[#This Row],[Column6]]</f>
        <v>0.50940785043152781</v>
      </c>
      <c r="K62" s="26">
        <f>+'2.Estado Resultados'!E14</f>
        <v>238178340.93333331</v>
      </c>
    </row>
    <row r="63" spans="1:11">
      <c r="A63" s="17" t="s">
        <v>15</v>
      </c>
      <c r="B63" s="25">
        <f>+'2.Estado Resultados'!B15</f>
        <v>8727489.7000000011</v>
      </c>
      <c r="C63" s="25">
        <f>+AHER[[#This Row],[Column4]]-AHER[[#This Row],[Column2]]</f>
        <v>-8727489.7000000011</v>
      </c>
      <c r="D63" s="30">
        <f>+AHER[[#This Row],[Column10]]/AHER[[#This Row],[Column2]]</f>
        <v>-1</v>
      </c>
      <c r="E63" s="25">
        <f>+'2.Estado Resultados'!C15</f>
        <v>0</v>
      </c>
      <c r="F63" s="25">
        <f>+AHER[[#This Row],[Column6]]-AHER[[#This Row],[Column4]]</f>
        <v>124479996.33999999</v>
      </c>
      <c r="G63" s="30" t="e">
        <f>+AHER[[#This Row],[Column11]]/AHER[[#This Row],[Column4]]</f>
        <v>#DIV/0!</v>
      </c>
      <c r="H63" s="25">
        <f>+'2.Estado Resultados'!D15</f>
        <v>124479996.33999999</v>
      </c>
      <c r="I63" s="25">
        <f>+AHER[[#This Row],[Column8]]-AHER[[#This Row],[Column6]]</f>
        <v>144440510.06000006</v>
      </c>
      <c r="J63" s="30">
        <f>+AHER[[#This Row],[Column12]]/AHER[[#This Row],[Column6]]</f>
        <v>1.1603511753445162</v>
      </c>
      <c r="K63" s="26">
        <f>+'2.Estado Resultados'!E15</f>
        <v>268920506.40000004</v>
      </c>
    </row>
    <row r="64" spans="1:11">
      <c r="A64" s="17" t="s">
        <v>10</v>
      </c>
      <c r="B64" s="25">
        <f>+'2.Estado Resultados'!B16</f>
        <v>104745552.27999999</v>
      </c>
      <c r="C64" s="25">
        <f>+AHER[[#This Row],[Column4]]-AHER[[#This Row],[Column2]]</f>
        <v>954309.62000000477</v>
      </c>
      <c r="D64" s="30">
        <f>+AHER[[#This Row],[Column10]]/AHER[[#This Row],[Column2]]</f>
        <v>9.1107412126578639E-3</v>
      </c>
      <c r="E64" s="25">
        <f>+'2.Estado Resultados'!C16</f>
        <v>105699861.89999999</v>
      </c>
      <c r="F64" s="25">
        <f>+AHER[[#This Row],[Column6]]-AHER[[#This Row],[Column4]]</f>
        <v>-105699861.89999999</v>
      </c>
      <c r="G64" s="30">
        <f>+AHER[[#This Row],[Column11]]/AHER[[#This Row],[Column4]]</f>
        <v>-1</v>
      </c>
      <c r="H64" s="25">
        <f>+'2.Estado Resultados'!D16</f>
        <v>0</v>
      </c>
      <c r="I64" s="25">
        <f>+AHER[[#This Row],[Column8]]-AHER[[#This Row],[Column6]]</f>
        <v>0</v>
      </c>
      <c r="J64" s="30" t="e">
        <f>+AHER[[#This Row],[Column12]]/AHER[[#This Row],[Column6]]</f>
        <v>#DIV/0!</v>
      </c>
      <c r="K64" s="26">
        <f>+'2.Estado Resultados'!E16</f>
        <v>0</v>
      </c>
    </row>
    <row r="65" spans="1:11" ht="15.75" thickBot="1">
      <c r="A65" s="157" t="s">
        <v>11</v>
      </c>
      <c r="B65" s="155">
        <f>+'2.Estado Resultados'!B17</f>
        <v>0</v>
      </c>
      <c r="C65" s="155">
        <f>+AHER[[#This Row],[Column4]]-AHER[[#This Row],[Column2]]</f>
        <v>0</v>
      </c>
      <c r="D65" s="160" t="e">
        <f>+AHER[[#This Row],[Column10]]/AHER[[#This Row],[Column2]]</f>
        <v>#DIV/0!</v>
      </c>
      <c r="E65" s="155">
        <f>+'2.Estado Resultados'!C17</f>
        <v>0</v>
      </c>
      <c r="F65" s="155">
        <f>+AHER[[#This Row],[Column6]]-AHER[[#This Row],[Column4]]</f>
        <v>0</v>
      </c>
      <c r="G65" s="160" t="e">
        <f>+AHER[[#This Row],[Column11]]/AHER[[#This Row],[Column4]]</f>
        <v>#DIV/0!</v>
      </c>
      <c r="H65" s="155">
        <f>+'2.Estado Resultados'!D17</f>
        <v>0</v>
      </c>
      <c r="I65" s="155">
        <f>+AHER[[#This Row],[Column8]]-AHER[[#This Row],[Column6]]</f>
        <v>0</v>
      </c>
      <c r="J65" s="160" t="e">
        <f>+AHER[[#This Row],[Column12]]/AHER[[#This Row],[Column6]]</f>
        <v>#DIV/0!</v>
      </c>
      <c r="K65" s="158">
        <f>+'2.Estado Resultados'!E17</f>
        <v>0</v>
      </c>
    </row>
    <row r="66" spans="1:11" ht="15.75" thickTop="1">
      <c r="A66" s="27" t="s">
        <v>12</v>
      </c>
      <c r="B66" s="28">
        <f>+'2.Estado Resultados'!B18</f>
        <v>193724568.44666567</v>
      </c>
      <c r="C66" s="28">
        <f>+AHER[[#This Row],[Column4]]-AHER[[#This Row],[Column2]]</f>
        <v>-22923277.253331542</v>
      </c>
      <c r="D66" s="142">
        <f>+AHER[[#This Row],[Column10]]/AHER[[#This Row],[Column2]]</f>
        <v>-0.11832922089921986</v>
      </c>
      <c r="E66" s="28">
        <f>+'2.Estado Resultados'!C18</f>
        <v>170801291.19333413</v>
      </c>
      <c r="F66" s="28">
        <f>+AHER[[#This Row],[Column6]]-AHER[[#This Row],[Column4]]</f>
        <v>-134192410.04666775</v>
      </c>
      <c r="G66" s="142">
        <f>+AHER[[#This Row],[Column11]]/AHER[[#This Row],[Column4]]</f>
        <v>-0.78566390868071423</v>
      </c>
      <c r="H66" s="28">
        <f>+'2.Estado Resultados'!D18</f>
        <v>36608881.14666637</v>
      </c>
      <c r="I66" s="28">
        <f>+AHER[[#This Row],[Column8]]-AHER[[#This Row],[Column6]]</f>
        <v>79080244.333333492</v>
      </c>
      <c r="J66" s="142">
        <f>+AHER[[#This Row],[Column12]]/AHER[[#This Row],[Column6]]</f>
        <v>2.1601382466870227</v>
      </c>
      <c r="K66" s="29">
        <f>+'2.Estado Resultados'!E18</f>
        <v>115689125.47999986</v>
      </c>
    </row>
    <row r="67" spans="1:11" ht="15.75" thickBot="1">
      <c r="A67" s="157" t="s">
        <v>13</v>
      </c>
      <c r="B67" s="155">
        <f>+'2.Estado Resultados'!B19</f>
        <v>88612803.573333338</v>
      </c>
      <c r="C67" s="155">
        <f>+AHER[[#This Row],[Column4]]-AHER[[#This Row],[Column2]]</f>
        <v>379115.61333332956</v>
      </c>
      <c r="D67" s="160">
        <f>+AHER[[#This Row],[Column10]]/AHER[[#This Row],[Column2]]</f>
        <v>4.2783389989414413E-3</v>
      </c>
      <c r="E67" s="155">
        <f>+'2.Estado Resultados'!C19</f>
        <v>88991919.186666667</v>
      </c>
      <c r="F67" s="155">
        <f>+AHER[[#This Row],[Column6]]-AHER[[#This Row],[Column4]]</f>
        <v>-63828089.206666663</v>
      </c>
      <c r="G67" s="160">
        <f>+AHER[[#This Row],[Column11]]/AHER[[#This Row],[Column4]]</f>
        <v>-0.71723466343930464</v>
      </c>
      <c r="H67" s="155">
        <f>+'2.Estado Resultados'!D19</f>
        <v>25163829.98</v>
      </c>
      <c r="I67" s="155">
        <f>+AHER[[#This Row],[Column8]]-AHER[[#This Row],[Column6]]</f>
        <v>-21296799.006666671</v>
      </c>
      <c r="J67" s="160">
        <f>+AHER[[#This Row],[Column12]]/AHER[[#This Row],[Column6]]</f>
        <v>-0.84632581858934774</v>
      </c>
      <c r="K67" s="158">
        <f>+'2.Estado Resultados'!E19</f>
        <v>3867030.973333329</v>
      </c>
    </row>
    <row r="68" spans="1:11" ht="15.75" thickTop="1">
      <c r="A68" s="27" t="s">
        <v>14</v>
      </c>
      <c r="B68" s="28">
        <f>+'2.Estado Resultados'!B20</f>
        <v>105111764.87333234</v>
      </c>
      <c r="C68" s="28">
        <f>+AHER[[#This Row],[Column4]]-AHER[[#This Row],[Column2]]</f>
        <v>-23302392.866664886</v>
      </c>
      <c r="D68" s="142">
        <f>+AHER[[#This Row],[Column10]]/AHER[[#This Row],[Column2]]</f>
        <v>-0.22169157653042967</v>
      </c>
      <c r="E68" s="28">
        <f>+'2.Estado Resultados'!C20</f>
        <v>81809372.00666745</v>
      </c>
      <c r="F68" s="28">
        <f>+AHER[[#This Row],[Column6]]-AHER[[#This Row],[Column4]]</f>
        <v>-70364320.840001076</v>
      </c>
      <c r="G68" s="142">
        <f>+AHER[[#This Row],[Column11]]/AHER[[#This Row],[Column4]]</f>
        <v>-0.86010097760274207</v>
      </c>
      <c r="H68" s="28">
        <f>+'2.Estado Resultados'!D20</f>
        <v>11445051.166666368</v>
      </c>
      <c r="I68" s="28">
        <f>+AHER[[#This Row],[Column8]]-AHER[[#This Row],[Column6]]</f>
        <v>100377043.34000017</v>
      </c>
      <c r="J68" s="142">
        <f>+AHER[[#This Row],[Column12]]/AHER[[#This Row],[Column6]]</f>
        <v>8.7703446562430063</v>
      </c>
      <c r="K68" s="29">
        <f>+'2.Estado Resultados'!E20</f>
        <v>111822094.50666654</v>
      </c>
    </row>
    <row r="69" spans="1:11">
      <c r="A69" s="17"/>
      <c r="B69" s="30"/>
      <c r="C69" s="143">
        <f>+AHER[[#This Row],[Column4]]-AHER[[#This Row],[Column2]]</f>
        <v>0</v>
      </c>
      <c r="D69" s="30"/>
      <c r="E69" s="30"/>
      <c r="F69" s="30"/>
      <c r="G69" s="30"/>
      <c r="H69" s="30"/>
      <c r="I69" s="30"/>
      <c r="J69" s="30"/>
      <c r="K69" s="30"/>
    </row>
  </sheetData>
  <mergeCells count="6">
    <mergeCell ref="I54:J54"/>
    <mergeCell ref="C54:D54"/>
    <mergeCell ref="F54:G54"/>
    <mergeCell ref="C6:D6"/>
    <mergeCell ref="F6:G6"/>
    <mergeCell ref="I6:J6"/>
  </mergeCells>
  <hyperlinks>
    <hyperlink ref="A1" location="Indice!A1" display="Volver a la página del Indice"/>
  </hyperlinks>
  <pageMargins left="0.7" right="0.7" top="0.75" bottom="0.75" header="0.3" footer="0.3"/>
  <ignoredErrors>
    <ignoredError sqref="C7:J8 C13:J14 B68:K192 B13:B14 K13:K14 C66:J67 C63:C65 C50:J62 D48:J48 D49:E49 J49 B23:B31 B18:B21 C18:J21 C16:D16 F16:G16 C17:D17 F17:G17 I17:J17 I16:J16 C23:J31 C22:D22 I22:J22 F22:G22 K23:K31 K18:K21 B33:B37 C33:J34 C32:D32 F32:G32 I32:J32 K33:K37 K40:K67 C40:J47 C39:D39 I39:J39 C38:D38 I38:J38 F38:G38 F39:G39 B40:B67 D15 G15 J15 G49 C36:J37 C35:I35" calculatedColumn="1"/>
    <ignoredError sqref="D63:J65" evalError="1" calculatedColumn="1"/>
  </ignoredErrors>
  <tableParts count="2">
    <tablePart r:id="rId1"/>
    <tablePart r:id="rId2"/>
  </tableParts>
</worksheet>
</file>

<file path=xl/worksheets/sheet7.xml><?xml version="1.0" encoding="utf-8"?>
<worksheet xmlns="http://schemas.openxmlformats.org/spreadsheetml/2006/main" xmlns:r="http://schemas.openxmlformats.org/officeDocument/2006/relationships">
  <dimension ref="A1:J102"/>
  <sheetViews>
    <sheetView showGridLines="0" workbookViewId="0">
      <selection activeCell="F26" sqref="F26"/>
    </sheetView>
  </sheetViews>
  <sheetFormatPr defaultColWidth="11.42578125" defaultRowHeight="15" outlineLevelRow="1"/>
  <cols>
    <col min="1" max="1" width="38.7109375" style="368" customWidth="1"/>
    <col min="2" max="2" width="0" style="366" hidden="1" customWidth="1"/>
    <col min="3" max="5" width="0" style="368" hidden="1" customWidth="1"/>
    <col min="6" max="8" width="18" style="368" bestFit="1" customWidth="1"/>
    <col min="9" max="9" width="16.85546875" style="368" bestFit="1" customWidth="1"/>
    <col min="10" max="16384" width="11.42578125" style="368"/>
  </cols>
  <sheetData>
    <row r="1" spans="1:10">
      <c r="A1" s="234" t="s">
        <v>193</v>
      </c>
      <c r="B1" s="385"/>
      <c r="C1" s="386"/>
      <c r="D1" s="386"/>
      <c r="E1" s="386"/>
      <c r="F1" s="386"/>
      <c r="G1" s="386"/>
      <c r="H1" s="386"/>
      <c r="I1" s="386"/>
    </row>
    <row r="2" spans="1:10">
      <c r="A2" s="234" t="s">
        <v>316</v>
      </c>
      <c r="B2" s="385"/>
      <c r="C2" s="386"/>
      <c r="D2" s="386"/>
      <c r="E2" s="386"/>
      <c r="F2" s="386"/>
      <c r="G2" s="386"/>
      <c r="H2" s="386"/>
      <c r="I2" s="386"/>
    </row>
    <row r="3" spans="1:10">
      <c r="A3" s="234" t="s">
        <v>16</v>
      </c>
      <c r="B3" s="385"/>
      <c r="C3" s="386"/>
      <c r="D3" s="386"/>
      <c r="E3" s="386"/>
      <c r="F3" s="386"/>
      <c r="G3" s="386"/>
      <c r="H3" s="386"/>
      <c r="I3" s="386"/>
    </row>
    <row r="4" spans="1:10" ht="12.75" customHeight="1">
      <c r="A4"/>
      <c r="B4"/>
      <c r="C4"/>
      <c r="D4"/>
      <c r="E4"/>
      <c r="F4"/>
      <c r="G4"/>
      <c r="H4"/>
      <c r="I4"/>
    </row>
    <row r="5" spans="1:10" ht="12.75" customHeight="1">
      <c r="A5" s="381" t="s">
        <v>312</v>
      </c>
      <c r="B5" s="361">
        <f>'[2]2. Balance General'!B6</f>
        <v>2006</v>
      </c>
      <c r="C5" s="362">
        <f>'[2]2. Balance General'!C6</f>
        <v>2007</v>
      </c>
      <c r="D5" s="362">
        <f>'[2]2. Balance General'!D6</f>
        <v>2008</v>
      </c>
      <c r="E5" s="362">
        <f>'[2]2. Balance General'!E6</f>
        <v>2009</v>
      </c>
      <c r="F5" s="150">
        <f>+'1.Estado Situación'!B7</f>
        <v>39721</v>
      </c>
      <c r="G5" s="150">
        <f>+'1.Estado Situación'!C7</f>
        <v>40086</v>
      </c>
      <c r="H5" s="150">
        <f>+'1.Estado Situación'!D7</f>
        <v>40451</v>
      </c>
      <c r="I5" s="150">
        <f>+'1.Estado Situación'!E7</f>
        <v>40816</v>
      </c>
    </row>
    <row r="6" spans="1:10" ht="12.75" customHeight="1" outlineLevel="1">
      <c r="A6" s="379" t="s">
        <v>311</v>
      </c>
    </row>
    <row r="7" spans="1:10" ht="12.75" customHeight="1" outlineLevel="1">
      <c r="A7" s="377" t="s">
        <v>313</v>
      </c>
      <c r="B7" s="364">
        <f>'[2]2. Balance General'!B13</f>
        <v>8353</v>
      </c>
      <c r="C7" s="371">
        <f>'[2]2. Balance General'!C13</f>
        <v>7574</v>
      </c>
      <c r="D7" s="371">
        <f>'[2]2. Balance General'!D13</f>
        <v>8150</v>
      </c>
      <c r="E7" s="371">
        <f>'[2]2. Balance General'!E13</f>
        <v>7022</v>
      </c>
      <c r="F7" s="380">
        <f>+'1.Estado Situación'!B15</f>
        <v>3737888963.8066669</v>
      </c>
      <c r="G7" s="380">
        <f>+'1.Estado Situación'!C15</f>
        <v>3229240950.7933335</v>
      </c>
      <c r="H7" s="380">
        <f>+'1.Estado Situación'!D15</f>
        <v>3064919337.8400002</v>
      </c>
      <c r="I7" s="380">
        <f>+'1.Estado Situación'!E15</f>
        <v>2221308264.2199998</v>
      </c>
    </row>
    <row r="8" spans="1:10" ht="12.75" customHeight="1" outlineLevel="1" thickBot="1">
      <c r="A8" s="382" t="s">
        <v>314</v>
      </c>
      <c r="B8" s="383">
        <f>'[2]2. Balance General'!B30</f>
        <v>6879</v>
      </c>
      <c r="C8" s="384">
        <f>'[2]2. Balance General'!C30</f>
        <v>7037</v>
      </c>
      <c r="D8" s="384">
        <f>'[2]2. Balance General'!D30</f>
        <v>7279</v>
      </c>
      <c r="E8" s="384">
        <f>'[2]2. Balance General'!E30</f>
        <v>5414</v>
      </c>
      <c r="F8" s="389">
        <f>SUM('1.Estado Situación'!B23:B28,'1.Estado Situación'!B33)</f>
        <v>3506696654.4466662</v>
      </c>
      <c r="G8" s="389">
        <f>SUM('1.Estado Situación'!C23:C28,'1.Estado Situación'!C33)</f>
        <v>3146315423.9666662</v>
      </c>
      <c r="H8" s="389">
        <f>SUM('1.Estado Situación'!D23:D28,'1.Estado Situación'!D33)</f>
        <v>2479307923.5066667</v>
      </c>
      <c r="I8" s="389">
        <f>SUM('1.Estado Situación'!E23:E28,'1.Estado Situación'!E33)</f>
        <v>2258549910.8000002</v>
      </c>
    </row>
    <row r="9" spans="1:10" s="376" customFormat="1" ht="12.75" customHeight="1" thickTop="1">
      <c r="A9" s="378" t="s">
        <v>310</v>
      </c>
      <c r="B9" s="373">
        <f t="shared" ref="B9:G9" si="0">B7/B8</f>
        <v>1.214275330716674</v>
      </c>
      <c r="C9" s="372">
        <f t="shared" si="0"/>
        <v>1.0763109279522525</v>
      </c>
      <c r="D9" s="372">
        <f t="shared" si="0"/>
        <v>1.1196592938590466</v>
      </c>
      <c r="E9" s="372">
        <f t="shared" si="0"/>
        <v>1.2970077576653121</v>
      </c>
      <c r="F9" s="369">
        <f t="shared" si="0"/>
        <v>1.0659288019871458</v>
      </c>
      <c r="G9" s="369">
        <f t="shared" si="0"/>
        <v>1.0263563933212139</v>
      </c>
      <c r="H9" s="369">
        <f>H7/H8</f>
        <v>1.2361995493908076</v>
      </c>
      <c r="I9" s="369">
        <f>I7/I8</f>
        <v>0.98351081532362106</v>
      </c>
      <c r="J9" s="368"/>
    </row>
    <row r="10" spans="1:10" ht="12.75" customHeight="1" outlineLevel="1">
      <c r="A10" s="363"/>
      <c r="B10" s="367"/>
      <c r="C10" s="370"/>
      <c r="D10" s="370"/>
      <c r="E10" s="370"/>
      <c r="F10" s="380"/>
      <c r="G10" s="380"/>
      <c r="H10" s="388"/>
      <c r="I10" s="388"/>
    </row>
    <row r="11" spans="1:10" ht="12.75" customHeight="1" outlineLevel="1">
      <c r="A11" s="379" t="s">
        <v>309</v>
      </c>
      <c r="B11" s="367"/>
      <c r="C11" s="370"/>
      <c r="D11" s="370"/>
      <c r="E11" s="370"/>
      <c r="F11" s="380"/>
      <c r="G11" s="380"/>
      <c r="H11" s="388"/>
      <c r="I11" s="388"/>
    </row>
    <row r="12" spans="1:10" ht="12.75" customHeight="1" outlineLevel="1">
      <c r="A12" s="377" t="str">
        <f>+A7</f>
        <v>Activo Corriente</v>
      </c>
      <c r="B12" s="364">
        <f>'[2]2. Balance General'!B13</f>
        <v>8353</v>
      </c>
      <c r="C12" s="371">
        <f>'[2]2. Balance General'!C13</f>
        <v>7574</v>
      </c>
      <c r="D12" s="371">
        <f>'[2]2. Balance General'!D13</f>
        <v>8150</v>
      </c>
      <c r="E12" s="371">
        <f>'[2]2. Balance General'!E13</f>
        <v>7022</v>
      </c>
      <c r="F12" s="380">
        <f>+F7</f>
        <v>3737888963.8066669</v>
      </c>
      <c r="G12" s="380">
        <f>+G7</f>
        <v>3229240950.7933335</v>
      </c>
      <c r="H12" s="380">
        <f>+H7</f>
        <v>3064919337.8400002</v>
      </c>
      <c r="I12" s="380">
        <f>+I7</f>
        <v>2221308264.2199998</v>
      </c>
    </row>
    <row r="13" spans="1:10" ht="12.75" customHeight="1" outlineLevel="1">
      <c r="A13" s="377" t="s">
        <v>47</v>
      </c>
      <c r="B13" s="364">
        <f>'[2]2. Balance General'!B11</f>
        <v>3380</v>
      </c>
      <c r="C13" s="371">
        <f>'[2]2. Balance General'!C11</f>
        <v>3084</v>
      </c>
      <c r="D13" s="371">
        <f>'[2]2. Balance General'!D11</f>
        <v>3238</v>
      </c>
      <c r="E13" s="371">
        <f>'[2]2. Balance General'!E11</f>
        <v>2328</v>
      </c>
      <c r="F13" s="380">
        <f>+'1.Estado Situación'!B13</f>
        <v>1793636044.9399998</v>
      </c>
      <c r="G13" s="380">
        <f>+'1.Estado Situación'!C13</f>
        <v>1223375514.4333334</v>
      </c>
      <c r="H13" s="380">
        <f>+'1.Estado Situación'!D13</f>
        <v>1022353000.34</v>
      </c>
      <c r="I13" s="380">
        <f>+'1.Estado Situación'!E13</f>
        <v>1103694669.8199999</v>
      </c>
    </row>
    <row r="14" spans="1:10" ht="12.75" customHeight="1" outlineLevel="1" thickBot="1">
      <c r="A14" s="382" t="str">
        <f>+A8</f>
        <v>Pasivo Corriente</v>
      </c>
      <c r="B14" s="383">
        <f>'[2]2. Balance General'!B30</f>
        <v>6879</v>
      </c>
      <c r="C14" s="384">
        <f>'[2]2. Balance General'!C30</f>
        <v>7037</v>
      </c>
      <c r="D14" s="384">
        <f>'[2]2. Balance General'!D30</f>
        <v>7279</v>
      </c>
      <c r="E14" s="384">
        <f>'[2]2. Balance General'!E30</f>
        <v>5414</v>
      </c>
      <c r="F14" s="389">
        <f>+F8</f>
        <v>3506696654.4466662</v>
      </c>
      <c r="G14" s="389">
        <f>+G8</f>
        <v>3146315423.9666662</v>
      </c>
      <c r="H14" s="389">
        <f>+H8</f>
        <v>2479307923.5066667</v>
      </c>
      <c r="I14" s="389">
        <f>+I8</f>
        <v>2258549910.8000002</v>
      </c>
    </row>
    <row r="15" spans="1:10" ht="12.75" customHeight="1" thickTop="1">
      <c r="A15" s="378" t="s">
        <v>308</v>
      </c>
      <c r="B15" s="373">
        <f t="shared" ref="B15:I15" si="1">(B12-B13)/B14</f>
        <v>0.72292484372728594</v>
      </c>
      <c r="C15" s="372">
        <f t="shared" si="1"/>
        <v>0.63805598976836719</v>
      </c>
      <c r="D15" s="372">
        <f t="shared" si="1"/>
        <v>0.67481796950130513</v>
      </c>
      <c r="E15" s="372">
        <f t="shared" si="1"/>
        <v>0.86701145179165129</v>
      </c>
      <c r="F15" s="369">
        <f t="shared" si="1"/>
        <v>0.55444000735029575</v>
      </c>
      <c r="G15" s="369">
        <f t="shared" si="1"/>
        <v>0.63752839943527906</v>
      </c>
      <c r="H15" s="369">
        <f t="shared" si="1"/>
        <v>0.82384536351218884</v>
      </c>
      <c r="I15" s="369">
        <f t="shared" si="1"/>
        <v>0.4948367928712854</v>
      </c>
      <c r="J15" s="380"/>
    </row>
    <row r="16" spans="1:10" ht="12.75" customHeight="1" outlineLevel="1">
      <c r="A16" s="363"/>
      <c r="B16" s="367"/>
      <c r="C16" s="370"/>
      <c r="D16" s="370"/>
      <c r="E16" s="370"/>
      <c r="F16" s="380"/>
      <c r="G16" s="380"/>
      <c r="H16" s="388"/>
      <c r="I16" s="388"/>
    </row>
    <row r="17" spans="1:10" ht="12.75" customHeight="1" outlineLevel="1">
      <c r="A17" s="379" t="s">
        <v>307</v>
      </c>
      <c r="B17" s="367"/>
      <c r="C17" s="370"/>
      <c r="D17" s="370"/>
      <c r="E17" s="370"/>
      <c r="F17" s="380"/>
      <c r="G17" s="380"/>
      <c r="H17" s="388"/>
      <c r="I17" s="388"/>
    </row>
    <row r="18" spans="1:10" ht="12.75" customHeight="1" outlineLevel="1">
      <c r="A18" s="377" t="s">
        <v>315</v>
      </c>
      <c r="B18" s="364">
        <f>'[2]2. Balance General'!B36</f>
        <v>20752</v>
      </c>
      <c r="C18" s="371">
        <f>'[2]2. Balance General'!C36</f>
        <v>20327</v>
      </c>
      <c r="D18" s="371">
        <f>'[2]2. Balance General'!D36</f>
        <v>23490</v>
      </c>
      <c r="E18" s="371">
        <f>'[2]2. Balance General'!E36</f>
        <v>22912</v>
      </c>
      <c r="F18" s="380">
        <f>+'1.Estado Situación'!B37</f>
        <v>4192481923.1333337</v>
      </c>
      <c r="G18" s="380">
        <f>+'1.Estado Situación'!C37</f>
        <v>3735772610.4599996</v>
      </c>
      <c r="H18" s="380">
        <f>+'1.Estado Situación'!D37</f>
        <v>3343658192.1999993</v>
      </c>
      <c r="I18" s="380">
        <f>+'1.Estado Situación'!E37</f>
        <v>3369527364.126667</v>
      </c>
    </row>
    <row r="19" spans="1:10" ht="12.75" customHeight="1" outlineLevel="1" thickBot="1">
      <c r="A19" s="382" t="s">
        <v>22</v>
      </c>
      <c r="B19" s="383">
        <f>'[2]2. Balance General'!B20</f>
        <v>37183</v>
      </c>
      <c r="C19" s="384">
        <f>'[2]2. Balance General'!C20</f>
        <v>38803</v>
      </c>
      <c r="D19" s="384">
        <f>'[2]2. Balance General'!D20</f>
        <v>37822</v>
      </c>
      <c r="E19" s="384">
        <f>'[2]2. Balance General'!E20</f>
        <v>38472</v>
      </c>
      <c r="F19" s="389">
        <f>+'1.Estado Situación'!B21</f>
        <v>6211975122.1466665</v>
      </c>
      <c r="G19" s="389">
        <f>+'1.Estado Situación'!C21</f>
        <v>5837075181.4800005</v>
      </c>
      <c r="H19" s="389">
        <f>+'1.Estado Situación'!D21</f>
        <v>5456405814.3866663</v>
      </c>
      <c r="I19" s="389">
        <f>+'1.Estado Situación'!E21</f>
        <v>5452583548.2333336</v>
      </c>
    </row>
    <row r="20" spans="1:10" ht="12.75" customHeight="1" thickTop="1">
      <c r="A20" s="378" t="s">
        <v>306</v>
      </c>
      <c r="B20" s="373">
        <f t="shared" ref="B20:I20" si="2">B18/B19</f>
        <v>0.55810451012559503</v>
      </c>
      <c r="C20" s="372">
        <f t="shared" si="2"/>
        <v>0.52385124861479782</v>
      </c>
      <c r="D20" s="372">
        <f t="shared" si="2"/>
        <v>0.62106710380202002</v>
      </c>
      <c r="E20" s="372">
        <f t="shared" si="2"/>
        <v>0.59555001039717193</v>
      </c>
      <c r="F20" s="369">
        <f t="shared" si="2"/>
        <v>0.6749032056143428</v>
      </c>
      <c r="G20" s="369">
        <f t="shared" si="2"/>
        <v>0.64000762270682077</v>
      </c>
      <c r="H20" s="369">
        <f t="shared" si="2"/>
        <v>0.61279499838225415</v>
      </c>
      <c r="I20" s="369">
        <f t="shared" si="2"/>
        <v>0.61796895624247927</v>
      </c>
    </row>
    <row r="21" spans="1:10" ht="12.75" customHeight="1" outlineLevel="1">
      <c r="A21" s="363"/>
      <c r="B21" s="367"/>
      <c r="C21" s="370"/>
      <c r="D21" s="370"/>
      <c r="E21" s="370"/>
      <c r="F21" s="380"/>
      <c r="G21" s="380"/>
      <c r="H21" s="388"/>
      <c r="I21" s="388"/>
    </row>
    <row r="22" spans="1:10" ht="12.75" customHeight="1" outlineLevel="1">
      <c r="A22" s="379" t="s">
        <v>305</v>
      </c>
      <c r="B22" s="367"/>
      <c r="C22" s="370"/>
      <c r="D22" s="370"/>
      <c r="E22" s="370"/>
      <c r="F22" s="380"/>
      <c r="G22" s="380"/>
      <c r="H22" s="388"/>
      <c r="I22" s="388"/>
    </row>
    <row r="23" spans="1:10" ht="12.75" customHeight="1" outlineLevel="1">
      <c r="A23" s="377" t="str">
        <f>+A18</f>
        <v>Total pasivos</v>
      </c>
      <c r="B23" s="364">
        <f>'[2]2. Balance General'!B36</f>
        <v>20752</v>
      </c>
      <c r="C23" s="371">
        <f>'[2]2. Balance General'!C36</f>
        <v>20327</v>
      </c>
      <c r="D23" s="371">
        <f>'[2]2. Balance General'!D36</f>
        <v>23490</v>
      </c>
      <c r="E23" s="371">
        <f>'[2]2. Balance General'!E36</f>
        <v>22912</v>
      </c>
      <c r="F23" s="380">
        <f>+F18</f>
        <v>4192481923.1333337</v>
      </c>
      <c r="G23" s="380">
        <f>+G18</f>
        <v>3735772610.4599996</v>
      </c>
      <c r="H23" s="380">
        <f>+H18</f>
        <v>3343658192.1999993</v>
      </c>
      <c r="I23" s="380">
        <f>+I18</f>
        <v>3369527364.126667</v>
      </c>
    </row>
    <row r="24" spans="1:10" ht="12.75" customHeight="1" outlineLevel="1" thickBot="1">
      <c r="A24" s="382" t="s">
        <v>37</v>
      </c>
      <c r="B24" s="383">
        <f>'[2]2. Balance General'!B46-'[2]2. Balance General'!B36</f>
        <v>16431</v>
      </c>
      <c r="C24" s="384">
        <f>'[2]2. Balance General'!C46-'[2]2. Balance General'!C36</f>
        <v>18476</v>
      </c>
      <c r="D24" s="384">
        <f>'[2]2. Balance General'!D46-'[2]2. Balance General'!D36</f>
        <v>14332</v>
      </c>
      <c r="E24" s="384">
        <f>'[2]2. Balance General'!E46-'[2]2. Balance General'!E36</f>
        <v>15560</v>
      </c>
      <c r="F24" s="389">
        <f>+'1.Estado Situación'!B44</f>
        <v>2019493199.0133333</v>
      </c>
      <c r="G24" s="389">
        <f>+'1.Estado Situación'!C44</f>
        <v>2101302571.0200002</v>
      </c>
      <c r="H24" s="389">
        <f>+'1.Estado Situación'!D44</f>
        <v>2112747622.1866667</v>
      </c>
      <c r="I24" s="389">
        <f>+'1.Estado Situación'!E44</f>
        <v>2083056184.1066666</v>
      </c>
    </row>
    <row r="25" spans="1:10" ht="12.75" customHeight="1" thickTop="1">
      <c r="A25" s="378" t="s">
        <v>304</v>
      </c>
      <c r="B25" s="373">
        <f t="shared" ref="B25:I25" si="3">B23/B24</f>
        <v>1.2629785162193414</v>
      </c>
      <c r="C25" s="372">
        <f t="shared" si="3"/>
        <v>1.100184022515696</v>
      </c>
      <c r="D25" s="372">
        <f t="shared" si="3"/>
        <v>1.6389896734579961</v>
      </c>
      <c r="E25" s="372">
        <f t="shared" si="3"/>
        <v>1.4724935732647815</v>
      </c>
      <c r="F25" s="369">
        <f t="shared" si="3"/>
        <v>2.0760069532205705</v>
      </c>
      <c r="G25" s="369">
        <f t="shared" si="3"/>
        <v>1.7778365962054699</v>
      </c>
      <c r="H25" s="369">
        <f t="shared" si="3"/>
        <v>1.5826112674732802</v>
      </c>
      <c r="I25" s="369">
        <f t="shared" si="3"/>
        <v>1.6175883251904282</v>
      </c>
    </row>
    <row r="26" spans="1:10" ht="12.75" customHeight="1">
      <c r="A26" s="363"/>
      <c r="B26" s="364"/>
      <c r="C26" s="365"/>
      <c r="D26" s="365"/>
      <c r="E26" s="365"/>
      <c r="F26" s="365"/>
      <c r="G26" s="365"/>
    </row>
    <row r="27" spans="1:10" ht="12.75" customHeight="1">
      <c r="A27" s="363"/>
      <c r="B27" s="364"/>
      <c r="C27" s="365"/>
    </row>
    <row r="28" spans="1:10" ht="12.75" customHeight="1">
      <c r="A28"/>
      <c r="B28"/>
      <c r="C28"/>
      <c r="D28"/>
      <c r="E28"/>
      <c r="F28"/>
      <c r="G28"/>
      <c r="H28"/>
      <c r="I28"/>
    </row>
    <row r="29" spans="1:10" ht="12.75" customHeight="1">
      <c r="A29" s="381" t="s">
        <v>303</v>
      </c>
      <c r="B29" s="361">
        <f>'[2]1. Estado de Resultados'!B6</f>
        <v>2006</v>
      </c>
      <c r="C29" s="362">
        <f>'[2]1. Estado de Resultados'!C6</f>
        <v>2007</v>
      </c>
      <c r="D29" s="362">
        <f>'[2]1. Estado de Resultados'!D6</f>
        <v>2008</v>
      </c>
      <c r="E29" s="362">
        <f>'[2]1. Estado de Resultados'!E6</f>
        <v>2009</v>
      </c>
      <c r="F29" s="150">
        <f>+F5</f>
        <v>39721</v>
      </c>
      <c r="G29" s="150">
        <f>+G5</f>
        <v>40086</v>
      </c>
      <c r="H29" s="150">
        <f>+H5</f>
        <v>40451</v>
      </c>
      <c r="I29" s="150">
        <f>+I5</f>
        <v>40816</v>
      </c>
      <c r="J29" s="367"/>
    </row>
    <row r="30" spans="1:10" ht="12.75" customHeight="1" outlineLevel="1">
      <c r="A30" s="379" t="s">
        <v>302</v>
      </c>
      <c r="C30" s="366"/>
      <c r="D30" s="366"/>
      <c r="E30" s="366"/>
      <c r="F30" s="366"/>
      <c r="G30" s="366"/>
      <c r="H30" s="366"/>
    </row>
    <row r="31" spans="1:10" ht="12.75" customHeight="1" outlineLevel="1">
      <c r="A31" s="377" t="s">
        <v>301</v>
      </c>
      <c r="B31" s="364">
        <f>'[2]1. Estado de Resultados'!B23</f>
        <v>21955</v>
      </c>
      <c r="C31" s="364">
        <f>'[2]1. Estado de Resultados'!C23</f>
        <v>22803</v>
      </c>
      <c r="D31" s="364">
        <f>'[2]1. Estado de Resultados'!D23</f>
        <v>22175</v>
      </c>
      <c r="E31" s="364">
        <f>'[2]1. Estado de Resultados'!E23</f>
        <v>16902</v>
      </c>
      <c r="F31" s="387">
        <f>+'2.Estado Resultados'!B9</f>
        <v>14149080687.706667</v>
      </c>
      <c r="G31" s="387">
        <f>+'2.Estado Resultados'!C9</f>
        <v>11894928376.573334</v>
      </c>
      <c r="H31" s="387">
        <f>+'2.Estado Resultados'!D9</f>
        <v>9340656308.7800007</v>
      </c>
      <c r="I31" s="387">
        <f>+'2.Estado Resultados'!E9</f>
        <v>8273794479.1866674</v>
      </c>
    </row>
    <row r="32" spans="1:10" ht="12.75" customHeight="1" outlineLevel="1" thickBot="1">
      <c r="A32" s="382" t="s">
        <v>300</v>
      </c>
      <c r="B32" s="383">
        <f>'[2]2. Balance General'!B11</f>
        <v>3380</v>
      </c>
      <c r="C32" s="384">
        <f>'[2]2. Balance General'!C11</f>
        <v>3084</v>
      </c>
      <c r="D32" s="384">
        <f>'[2]2. Balance General'!D11</f>
        <v>3238</v>
      </c>
      <c r="E32" s="384">
        <f>'[2]2. Balance General'!E11</f>
        <v>2328</v>
      </c>
      <c r="F32" s="389">
        <f>+'1.Estado Situación'!B13</f>
        <v>1793636044.9399998</v>
      </c>
      <c r="G32" s="389">
        <f>+('1.Estado Situación'!B13+'1.Estado Situación'!C13)/2</f>
        <v>1508505779.6866665</v>
      </c>
      <c r="H32" s="389">
        <f>+('1.Estado Situación'!C13+'1.Estado Situación'!D13)/2</f>
        <v>1122864257.3866668</v>
      </c>
      <c r="I32" s="389">
        <f>+('1.Estado Situación'!D13+'1.Estado Situación'!E13)/2</f>
        <v>1063023835.0799999</v>
      </c>
    </row>
    <row r="33" spans="1:9" ht="12.75" customHeight="1" thickTop="1">
      <c r="A33" s="378" t="s">
        <v>299</v>
      </c>
      <c r="B33" s="373">
        <f t="shared" ref="B33:I33" si="4">B31/B32</f>
        <v>6.4955621301775146</v>
      </c>
      <c r="C33" s="372">
        <f t="shared" si="4"/>
        <v>7.3939688715953311</v>
      </c>
      <c r="D33" s="372">
        <f t="shared" si="4"/>
        <v>6.8483631871525636</v>
      </c>
      <c r="E33" s="372">
        <f t="shared" si="4"/>
        <v>7.2603092783505154</v>
      </c>
      <c r="F33" s="369">
        <f t="shared" si="4"/>
        <v>7.8884903811018017</v>
      </c>
      <c r="G33" s="369">
        <f t="shared" si="4"/>
        <v>7.8852388481030831</v>
      </c>
      <c r="H33" s="369">
        <f t="shared" si="4"/>
        <v>8.3185979492474615</v>
      </c>
      <c r="I33" s="369">
        <f t="shared" si="4"/>
        <v>7.7832633720428355</v>
      </c>
    </row>
    <row r="34" spans="1:9" s="376" customFormat="1" ht="12.75" customHeight="1">
      <c r="A34" s="378" t="s">
        <v>298</v>
      </c>
      <c r="B34" s="374">
        <f t="shared" ref="B34:I34" si="5">360/B33</f>
        <v>55.422455021635166</v>
      </c>
      <c r="C34" s="374">
        <f t="shared" si="5"/>
        <v>48.688330482831205</v>
      </c>
      <c r="D34" s="374">
        <f t="shared" si="5"/>
        <v>52.567305524239003</v>
      </c>
      <c r="E34" s="374">
        <f t="shared" si="5"/>
        <v>49.584664536741215</v>
      </c>
      <c r="F34" s="390">
        <f t="shared" si="5"/>
        <v>45.636108128171166</v>
      </c>
      <c r="G34" s="390">
        <f t="shared" si="5"/>
        <v>45.654926494281604</v>
      </c>
      <c r="H34" s="390">
        <f t="shared" si="5"/>
        <v>43.276523543557872</v>
      </c>
      <c r="I34" s="390">
        <f t="shared" si="5"/>
        <v>46.253092410197155</v>
      </c>
    </row>
    <row r="35" spans="1:9" ht="12.75" customHeight="1" outlineLevel="1">
      <c r="A35" s="363"/>
      <c r="B35" s="367"/>
      <c r="C35" s="367"/>
      <c r="D35" s="367"/>
      <c r="E35" s="367"/>
      <c r="F35" s="387">
        <f>+F34-'7.Dupont'!O47</f>
        <v>0</v>
      </c>
      <c r="G35" s="387">
        <f>+G34-'7.Dupont'!O48</f>
        <v>0</v>
      </c>
      <c r="H35" s="387">
        <f>+H34-'7.Dupont'!O49</f>
        <v>0</v>
      </c>
      <c r="I35" s="387">
        <f>+I34-'7.Dupont'!O50</f>
        <v>0</v>
      </c>
    </row>
    <row r="36" spans="1:9" ht="12.75" customHeight="1" outlineLevel="1">
      <c r="A36" s="379" t="s">
        <v>297</v>
      </c>
      <c r="B36" s="367"/>
      <c r="C36" s="367"/>
      <c r="D36" s="367"/>
      <c r="E36" s="367"/>
      <c r="F36" s="387"/>
      <c r="G36" s="387"/>
      <c r="H36" s="387"/>
      <c r="I36" s="388"/>
    </row>
    <row r="37" spans="1:9" ht="12.75" customHeight="1" outlineLevel="1">
      <c r="A37" s="377" t="s">
        <v>284</v>
      </c>
      <c r="B37" s="364">
        <f>'[2]1. Estado de Resultados'!B20</f>
        <v>28950</v>
      </c>
      <c r="C37" s="364">
        <f>'[2]1. Estado de Resultados'!C20</f>
        <v>29280</v>
      </c>
      <c r="D37" s="364">
        <f>'[2]1. Estado de Resultados'!D20</f>
        <v>26901</v>
      </c>
      <c r="E37" s="364">
        <f>'[2]1. Estado de Resultados'!E20</f>
        <v>18439</v>
      </c>
      <c r="F37" s="387">
        <f>+'2.Estado Resultados'!B8</f>
        <v>16522423948.166666</v>
      </c>
      <c r="G37" s="387">
        <f>+'2.Estado Resultados'!C8</f>
        <v>14253728943.553335</v>
      </c>
      <c r="H37" s="387">
        <f>+'2.Estado Resultados'!D8</f>
        <v>11175220610.993334</v>
      </c>
      <c r="I37" s="387">
        <f>+'2.Estado Resultados'!E8</f>
        <v>9952376060.7333336</v>
      </c>
    </row>
    <row r="38" spans="1:9" ht="12.75" customHeight="1" outlineLevel="1" thickBot="1">
      <c r="A38" s="382" t="s">
        <v>62</v>
      </c>
      <c r="B38" s="383">
        <f>'[2]2. Balance General'!B9</f>
        <v>2788</v>
      </c>
      <c r="C38" s="384">
        <f>'[2]2. Balance General'!C9</f>
        <v>2381</v>
      </c>
      <c r="D38" s="384">
        <f>'[2]2. Balance General'!D9</f>
        <v>1883</v>
      </c>
      <c r="E38" s="384">
        <f>'[2]2. Balance General'!E9</f>
        <v>1529</v>
      </c>
      <c r="F38" s="389">
        <f>+'1.Estado Situación'!B11</f>
        <v>1252786094.5933335</v>
      </c>
      <c r="G38" s="389">
        <f>+'1.Estado Situación'!C11</f>
        <v>1531339660.2266667</v>
      </c>
      <c r="H38" s="389">
        <f>+'1.Estado Situación'!D11</f>
        <v>1618872422.8933334</v>
      </c>
      <c r="I38" s="389">
        <f>+'1.Estado Situación'!E11</f>
        <v>747456943.57999992</v>
      </c>
    </row>
    <row r="39" spans="1:9" ht="12.75" customHeight="1" thickTop="1">
      <c r="A39" s="378" t="s">
        <v>296</v>
      </c>
      <c r="B39" s="373">
        <f t="shared" ref="B39:I39" si="6">B37/B38</f>
        <v>10.383787661406025</v>
      </c>
      <c r="C39" s="372">
        <f t="shared" si="6"/>
        <v>12.297354052918942</v>
      </c>
      <c r="D39" s="372">
        <f t="shared" si="6"/>
        <v>14.286245353159851</v>
      </c>
      <c r="E39" s="372">
        <f t="shared" si="6"/>
        <v>12.0595160235448</v>
      </c>
      <c r="F39" s="369">
        <f t="shared" si="6"/>
        <v>13.188543534664635</v>
      </c>
      <c r="G39" s="369">
        <f t="shared" si="6"/>
        <v>9.3080126596104211</v>
      </c>
      <c r="H39" s="369">
        <f t="shared" si="6"/>
        <v>6.9030891211429717</v>
      </c>
      <c r="I39" s="369">
        <f t="shared" si="6"/>
        <v>13.314982416332501</v>
      </c>
    </row>
    <row r="40" spans="1:9" ht="12.75" customHeight="1">
      <c r="A40" s="378" t="s">
        <v>295</v>
      </c>
      <c r="B40" s="374">
        <f t="shared" ref="B40:I40" si="7">360/B39</f>
        <v>34.669430051813471</v>
      </c>
      <c r="C40" s="374">
        <f t="shared" si="7"/>
        <v>29.274590163934423</v>
      </c>
      <c r="D40" s="374">
        <f t="shared" si="7"/>
        <v>25.199063231850118</v>
      </c>
      <c r="E40" s="374">
        <f t="shared" si="7"/>
        <v>29.851944248603505</v>
      </c>
      <c r="F40" s="390">
        <f t="shared" si="7"/>
        <v>27.296418217355058</v>
      </c>
      <c r="G40" s="390">
        <f t="shared" si="7"/>
        <v>38.676354788613651</v>
      </c>
      <c r="H40" s="390">
        <f t="shared" si="7"/>
        <v>52.150565302334293</v>
      </c>
      <c r="I40" s="390">
        <f t="shared" si="7"/>
        <v>27.03721182225631</v>
      </c>
    </row>
    <row r="41" spans="1:9" ht="12.75" customHeight="1" outlineLevel="1">
      <c r="A41" s="363"/>
      <c r="B41" s="367"/>
      <c r="C41" s="367"/>
      <c r="D41" s="367"/>
      <c r="E41" s="367"/>
      <c r="F41" s="387">
        <f>+F40-'7.Dupont'!O39</f>
        <v>0</v>
      </c>
      <c r="G41" s="387">
        <f>+G40-'7.Dupont'!O40</f>
        <v>0</v>
      </c>
      <c r="H41" s="387">
        <f>+H40-'7.Dupont'!O41</f>
        <v>0</v>
      </c>
      <c r="I41" s="387">
        <f>+I40-'7.Dupont'!O42</f>
        <v>0</v>
      </c>
    </row>
    <row r="42" spans="1:9" ht="12.75" customHeight="1" outlineLevel="1">
      <c r="A42" s="379" t="s">
        <v>294</v>
      </c>
      <c r="B42" s="367"/>
      <c r="C42" s="367"/>
      <c r="D42" s="367"/>
      <c r="E42" s="367"/>
      <c r="F42" s="387"/>
      <c r="G42" s="387"/>
      <c r="H42" s="387"/>
      <c r="I42" s="388"/>
    </row>
    <row r="43" spans="1:9" ht="12.75" customHeight="1" outlineLevel="1">
      <c r="A43" s="377" t="s">
        <v>25</v>
      </c>
      <c r="B43" s="364">
        <f>'[2]2. Balance General'!B25</f>
        <v>2407</v>
      </c>
      <c r="C43" s="364">
        <f>'[2]2. Balance General'!C25</f>
        <v>2644</v>
      </c>
      <c r="D43" s="364">
        <f>'[2]2. Balance General'!D25</f>
        <v>2518</v>
      </c>
      <c r="E43" s="364">
        <f>'[2]2. Balance General'!E25</f>
        <v>1954</v>
      </c>
      <c r="F43" s="387">
        <f>+'1.Estado Situación'!B23</f>
        <v>2102845788.54</v>
      </c>
      <c r="G43" s="387">
        <f>+'1.Estado Situación'!C23</f>
        <v>1794018901.5266666</v>
      </c>
      <c r="H43" s="387">
        <f>+'1.Estado Situación'!D23</f>
        <v>1518609648.5666666</v>
      </c>
      <c r="I43" s="387">
        <f>+'1.Estado Situación'!E23</f>
        <v>1846115543.3933334</v>
      </c>
    </row>
    <row r="44" spans="1:9" ht="12.75" customHeight="1" outlineLevel="1" thickBot="1">
      <c r="A44" s="382" t="s">
        <v>240</v>
      </c>
      <c r="B44" s="383">
        <f>'[2]1. Estado de Resultados'!B23+'[2]2. Balance General'!B11-3191</f>
        <v>22144</v>
      </c>
      <c r="C44" s="384">
        <f>'[2]1. Estado de Resultados'!C23+'[2]2. Balance General'!C11-'[2]2. Balance General'!B11</f>
        <v>22507</v>
      </c>
      <c r="D44" s="384">
        <f>'[2]1. Estado de Resultados'!D23+'[2]2. Balance General'!D11-'[2]2. Balance General'!C11</f>
        <v>22329</v>
      </c>
      <c r="E44" s="384">
        <f>'[2]1. Estado de Resultados'!E23+'[2]2. Balance General'!E11-'[2]2. Balance General'!D11</f>
        <v>15992</v>
      </c>
      <c r="F44" s="389">
        <f>+'2.Estado Resultados'!B24</f>
        <v>0</v>
      </c>
      <c r="G44" s="389">
        <f>+'2.Estado Resultados'!C24</f>
        <v>11324667846.073334</v>
      </c>
      <c r="H44" s="389">
        <f>+'2.Estado Resultados'!D24</f>
        <v>9139633794.6866665</v>
      </c>
      <c r="I44" s="389">
        <f>+'2.Estado Resultados'!E24</f>
        <v>8355136148.666667</v>
      </c>
    </row>
    <row r="45" spans="1:9" ht="12.75" customHeight="1" thickTop="1">
      <c r="A45" s="378" t="s">
        <v>293</v>
      </c>
      <c r="B45" s="373">
        <f t="shared" ref="B45:I45" si="8">B43/B44*360</f>
        <v>39.131141618497111</v>
      </c>
      <c r="C45" s="372">
        <f t="shared" si="8"/>
        <v>42.290842848891458</v>
      </c>
      <c r="D45" s="372">
        <f t="shared" si="8"/>
        <v>40.596533655783958</v>
      </c>
      <c r="E45" s="372">
        <f t="shared" si="8"/>
        <v>43.986993496748376</v>
      </c>
      <c r="F45" s="369" t="e">
        <f t="shared" si="8"/>
        <v>#DIV/0!</v>
      </c>
      <c r="G45" s="369">
        <f t="shared" si="8"/>
        <v>57.03008806333672</v>
      </c>
      <c r="H45" s="369">
        <f t="shared" si="8"/>
        <v>59.816343385861273</v>
      </c>
      <c r="I45" s="369">
        <f t="shared" si="8"/>
        <v>79.544077295216638</v>
      </c>
    </row>
    <row r="46" spans="1:9" ht="12.75" customHeight="1" outlineLevel="1">
      <c r="A46" s="363"/>
      <c r="B46" s="367"/>
      <c r="C46" s="367"/>
      <c r="D46" s="367"/>
      <c r="E46" s="367"/>
      <c r="F46" s="387"/>
      <c r="G46" s="387"/>
      <c r="H46" s="387"/>
      <c r="I46" s="388"/>
    </row>
    <row r="47" spans="1:9" ht="12.75" customHeight="1" outlineLevel="1">
      <c r="A47" s="379" t="s">
        <v>292</v>
      </c>
      <c r="B47" s="367"/>
      <c r="C47" s="367"/>
      <c r="D47" s="367"/>
      <c r="E47" s="367"/>
      <c r="F47" s="387"/>
      <c r="G47" s="387"/>
      <c r="H47" s="387"/>
      <c r="I47" s="388"/>
    </row>
    <row r="48" spans="1:9" ht="12.75" customHeight="1" outlineLevel="1">
      <c r="A48" s="377" t="s">
        <v>284</v>
      </c>
      <c r="B48" s="364">
        <f>'[2]1. Estado de Resultados'!B20</f>
        <v>28950</v>
      </c>
      <c r="C48" s="364">
        <f>'[2]1. Estado de Resultados'!C20</f>
        <v>29280</v>
      </c>
      <c r="D48" s="364">
        <f>'[2]1. Estado de Resultados'!D20</f>
        <v>26901</v>
      </c>
      <c r="E48" s="364">
        <f>'[2]1. Estado de Resultados'!E20</f>
        <v>18439</v>
      </c>
      <c r="F48" s="387">
        <f>+F37</f>
        <v>16522423948.166666</v>
      </c>
      <c r="G48" s="387">
        <f>+G37</f>
        <v>14253728943.553335</v>
      </c>
      <c r="H48" s="387">
        <f>+H37</f>
        <v>11175220610.993334</v>
      </c>
      <c r="I48" s="387">
        <f>+I37</f>
        <v>9952376060.7333336</v>
      </c>
    </row>
    <row r="49" spans="1:9" ht="12.75" customHeight="1" outlineLevel="1" thickBot="1">
      <c r="A49" s="382" t="s">
        <v>291</v>
      </c>
      <c r="B49" s="383">
        <f>'[2]2. Balance General'!B13</f>
        <v>8353</v>
      </c>
      <c r="C49" s="384">
        <f>'[2]2. Balance General'!C13</f>
        <v>7574</v>
      </c>
      <c r="D49" s="384">
        <f>'[2]2. Balance General'!D13</f>
        <v>8150</v>
      </c>
      <c r="E49" s="384">
        <f>'[2]2. Balance General'!E13</f>
        <v>7022</v>
      </c>
      <c r="F49" s="389">
        <f>+F12</f>
        <v>3737888963.8066669</v>
      </c>
      <c r="G49" s="389">
        <f>+G12</f>
        <v>3229240950.7933335</v>
      </c>
      <c r="H49" s="389">
        <f>+H12</f>
        <v>3064919337.8400002</v>
      </c>
      <c r="I49" s="389">
        <f>+I12</f>
        <v>2221308264.2199998</v>
      </c>
    </row>
    <row r="50" spans="1:9" ht="12.75" customHeight="1" thickTop="1">
      <c r="A50" s="378" t="s">
        <v>290</v>
      </c>
      <c r="B50" s="373">
        <f t="shared" ref="B50:I50" si="9">B48/B49</f>
        <v>3.4658206632347661</v>
      </c>
      <c r="C50" s="372">
        <f t="shared" si="9"/>
        <v>3.8658568787958805</v>
      </c>
      <c r="D50" s="372">
        <f t="shared" si="9"/>
        <v>3.3007361963190185</v>
      </c>
      <c r="E50" s="372">
        <f t="shared" si="9"/>
        <v>2.6258900598120194</v>
      </c>
      <c r="F50" s="369">
        <f t="shared" si="9"/>
        <v>4.4202554190748957</v>
      </c>
      <c r="G50" s="369">
        <f t="shared" si="9"/>
        <v>4.4139564562537821</v>
      </c>
      <c r="H50" s="369">
        <f t="shared" si="9"/>
        <v>3.6461711970759607</v>
      </c>
      <c r="I50" s="369">
        <f t="shared" si="9"/>
        <v>4.4804119360840069</v>
      </c>
    </row>
    <row r="51" spans="1:9" ht="12.75" customHeight="1" outlineLevel="1">
      <c r="A51" s="363"/>
      <c r="B51" s="364"/>
      <c r="C51" s="364"/>
      <c r="D51" s="364"/>
      <c r="E51" s="364"/>
      <c r="F51" s="387">
        <f>+F50-'7.Dupont'!K41</f>
        <v>0</v>
      </c>
      <c r="G51" s="387">
        <f>+G50-'7.Dupont'!K42</f>
        <v>0</v>
      </c>
      <c r="H51" s="387">
        <f>+H50-'7.Dupont'!K43</f>
        <v>0</v>
      </c>
      <c r="I51" s="388">
        <f>+I50-'7.Dupont'!K44</f>
        <v>0</v>
      </c>
    </row>
    <row r="52" spans="1:9" ht="12.75" customHeight="1" outlineLevel="1">
      <c r="A52" s="379" t="s">
        <v>289</v>
      </c>
      <c r="B52" s="364"/>
      <c r="C52" s="364"/>
      <c r="D52" s="364"/>
      <c r="E52" s="364"/>
      <c r="F52" s="387"/>
      <c r="G52" s="387"/>
      <c r="H52" s="387"/>
      <c r="I52" s="388"/>
    </row>
    <row r="53" spans="1:9" ht="12.75" customHeight="1" outlineLevel="1">
      <c r="A53" s="377" t="s">
        <v>284</v>
      </c>
      <c r="B53" s="364">
        <f>'[2]1. Estado de Resultados'!B20</f>
        <v>28950</v>
      </c>
      <c r="C53" s="364">
        <f>'[2]1. Estado de Resultados'!C20</f>
        <v>29280</v>
      </c>
      <c r="D53" s="364">
        <f>'[2]1. Estado de Resultados'!D20</f>
        <v>26901</v>
      </c>
      <c r="E53" s="364">
        <f>'[2]1. Estado de Resultados'!E20</f>
        <v>18439</v>
      </c>
      <c r="F53" s="387">
        <f>+F48</f>
        <v>16522423948.166666</v>
      </c>
      <c r="G53" s="387">
        <f>+G48</f>
        <v>14253728943.553335</v>
      </c>
      <c r="H53" s="387">
        <f>+H48</f>
        <v>11175220610.993334</v>
      </c>
      <c r="I53" s="387">
        <f>+I48</f>
        <v>9952376060.7333336</v>
      </c>
    </row>
    <row r="54" spans="1:9" ht="12.75" customHeight="1" outlineLevel="1" thickBot="1">
      <c r="A54" s="382" t="str">
        <f>+'1.Estado Situación'!A18</f>
        <v>Propiedad planta y equipo</v>
      </c>
      <c r="B54" s="383">
        <f>'[2]2. Balance General'!B14</f>
        <v>14007</v>
      </c>
      <c r="C54" s="384">
        <f>'[2]2. Balance General'!C14</f>
        <v>16541</v>
      </c>
      <c r="D54" s="384">
        <f>'[2]2. Balance General'!D14</f>
        <v>17455</v>
      </c>
      <c r="E54" s="384">
        <f>'[2]2. Balance General'!E14</f>
        <v>19828</v>
      </c>
      <c r="F54" s="389">
        <f>+'1.Estado Situación'!B18</f>
        <v>2213537589.9533334</v>
      </c>
      <c r="G54" s="389">
        <f>+'1.Estado Situación'!C18</f>
        <v>2219500630.3933334</v>
      </c>
      <c r="H54" s="389">
        <f>+'1.Estado Situación'!D18</f>
        <v>2186838729.4200001</v>
      </c>
      <c r="I54" s="389">
        <f>+'1.Estado Situación'!E18</f>
        <v>2213567028.2733331</v>
      </c>
    </row>
    <row r="55" spans="1:9" ht="12.75" customHeight="1" thickTop="1">
      <c r="A55" s="378" t="s">
        <v>317</v>
      </c>
      <c r="B55" s="373">
        <f t="shared" ref="B55:I55" si="10">B53/B54</f>
        <v>2.0668237309916471</v>
      </c>
      <c r="C55" s="372">
        <f t="shared" si="10"/>
        <v>1.7701469076839369</v>
      </c>
      <c r="D55" s="372">
        <f t="shared" si="10"/>
        <v>1.5411629905471211</v>
      </c>
      <c r="E55" s="372">
        <f t="shared" si="10"/>
        <v>0.92994754892071818</v>
      </c>
      <c r="F55" s="369">
        <f t="shared" si="10"/>
        <v>7.4642617424513666</v>
      </c>
      <c r="G55" s="369">
        <f t="shared" si="10"/>
        <v>6.4220432057400814</v>
      </c>
      <c r="H55" s="369">
        <f t="shared" si="10"/>
        <v>5.1102170730062291</v>
      </c>
      <c r="I55" s="369">
        <f t="shared" si="10"/>
        <v>4.496080730158222</v>
      </c>
    </row>
    <row r="56" spans="1:9" ht="12.75" customHeight="1" outlineLevel="1">
      <c r="A56" s="363"/>
      <c r="B56" s="364"/>
      <c r="C56" s="364"/>
      <c r="D56" s="364"/>
      <c r="E56" s="364"/>
      <c r="F56" s="387"/>
      <c r="G56" s="387"/>
      <c r="H56" s="387"/>
      <c r="I56" s="388"/>
    </row>
    <row r="57" spans="1:9" ht="12.75" customHeight="1" outlineLevel="1">
      <c r="A57" s="379" t="s">
        <v>288</v>
      </c>
      <c r="B57" s="364"/>
      <c r="C57" s="364"/>
      <c r="D57" s="364"/>
      <c r="E57" s="364"/>
      <c r="F57" s="387"/>
      <c r="G57" s="387"/>
      <c r="H57" s="387"/>
      <c r="I57" s="388"/>
    </row>
    <row r="58" spans="1:9" ht="12.75" customHeight="1" outlineLevel="1">
      <c r="A58" s="377" t="s">
        <v>284</v>
      </c>
      <c r="B58" s="364">
        <f>'[2]1. Estado de Resultados'!B20</f>
        <v>28950</v>
      </c>
      <c r="C58" s="364">
        <f>'[2]1. Estado de Resultados'!C20</f>
        <v>29280</v>
      </c>
      <c r="D58" s="364">
        <f>'[2]1. Estado de Resultados'!D20</f>
        <v>26901</v>
      </c>
      <c r="E58" s="364">
        <f>'[2]1. Estado de Resultados'!E20</f>
        <v>18439</v>
      </c>
      <c r="F58" s="387">
        <f>+F53</f>
        <v>16522423948.166666</v>
      </c>
      <c r="G58" s="387">
        <f>+G53</f>
        <v>14253728943.553335</v>
      </c>
      <c r="H58" s="387">
        <f>+H53</f>
        <v>11175220610.993334</v>
      </c>
      <c r="I58" s="387">
        <f>+I53</f>
        <v>9952376060.7333336</v>
      </c>
    </row>
    <row r="59" spans="1:9" ht="12.75" customHeight="1" outlineLevel="1" thickBot="1">
      <c r="A59" s="382" t="s">
        <v>287</v>
      </c>
      <c r="B59" s="383">
        <f>'[2]2. Balance General'!B20-'[2]2. Balance General'!B13</f>
        <v>28830</v>
      </c>
      <c r="C59" s="384">
        <f>'[2]2. Balance General'!C20-'[2]2. Balance General'!C13</f>
        <v>31229</v>
      </c>
      <c r="D59" s="384">
        <f>'[2]2. Balance General'!D20-'[2]2. Balance General'!D13</f>
        <v>29672</v>
      </c>
      <c r="E59" s="384">
        <f>'[2]2. Balance General'!E20-'[2]2. Balance General'!E13</f>
        <v>31450</v>
      </c>
      <c r="F59" s="389">
        <f>+'1.Estado Situación'!B20</f>
        <v>2474086158.3399997</v>
      </c>
      <c r="G59" s="389">
        <f>+'1.Estado Situación'!C20</f>
        <v>2607834230.686667</v>
      </c>
      <c r="H59" s="389">
        <f>+'1.Estado Situación'!D20</f>
        <v>2391486476.5466666</v>
      </c>
      <c r="I59" s="389">
        <f>+'1.Estado Situación'!E20</f>
        <v>3231275284.0133338</v>
      </c>
    </row>
    <row r="60" spans="1:9" ht="12.75" customHeight="1" thickTop="1">
      <c r="A60" s="378" t="s">
        <v>286</v>
      </c>
      <c r="B60" s="373">
        <f t="shared" ref="B60:I60" si="11">B58/B59</f>
        <v>1.0041623309053069</v>
      </c>
      <c r="C60" s="372">
        <f t="shared" si="11"/>
        <v>0.93759006052066984</v>
      </c>
      <c r="D60" s="372">
        <f t="shared" si="11"/>
        <v>0.90661229441898084</v>
      </c>
      <c r="E60" s="372">
        <f t="shared" si="11"/>
        <v>0.58629570747217807</v>
      </c>
      <c r="F60" s="369">
        <f t="shared" si="11"/>
        <v>6.678192629820324</v>
      </c>
      <c r="G60" s="369">
        <f t="shared" si="11"/>
        <v>5.465734277059549</v>
      </c>
      <c r="H60" s="369">
        <f t="shared" si="11"/>
        <v>4.6729181705975931</v>
      </c>
      <c r="I60" s="369">
        <f t="shared" si="11"/>
        <v>3.0800149123698941</v>
      </c>
    </row>
    <row r="61" spans="1:9" ht="12.75" customHeight="1" outlineLevel="1">
      <c r="A61" s="363"/>
      <c r="B61" s="364"/>
      <c r="C61" s="364"/>
      <c r="D61" s="364"/>
      <c r="E61" s="364"/>
      <c r="F61" s="387">
        <f>+F60-'7.Dupont'!K31</f>
        <v>0</v>
      </c>
      <c r="G61" s="387">
        <f>+G60-'7.Dupont'!K32</f>
        <v>0</v>
      </c>
      <c r="H61" s="387">
        <f>+H60-'7.Dupont'!K33</f>
        <v>0</v>
      </c>
      <c r="I61" s="387">
        <f>+I60-'7.Dupont'!K34</f>
        <v>0</v>
      </c>
    </row>
    <row r="62" spans="1:9" ht="12.75" customHeight="1" outlineLevel="1">
      <c r="A62" s="379" t="s">
        <v>285</v>
      </c>
      <c r="B62" s="364"/>
      <c r="C62" s="364"/>
      <c r="D62" s="364"/>
      <c r="E62" s="364"/>
      <c r="F62" s="387"/>
      <c r="G62" s="387"/>
      <c r="H62" s="387"/>
      <c r="I62" s="388"/>
    </row>
    <row r="63" spans="1:9" ht="12.75" customHeight="1" outlineLevel="1">
      <c r="A63" s="377" t="s">
        <v>284</v>
      </c>
      <c r="B63" s="364">
        <f>'[2]1. Estado de Resultados'!B20</f>
        <v>28950</v>
      </c>
      <c r="C63" s="364">
        <f>'[2]1. Estado de Resultados'!C20</f>
        <v>29280</v>
      </c>
      <c r="D63" s="364">
        <f>'[2]1. Estado de Resultados'!D20</f>
        <v>26901</v>
      </c>
      <c r="E63" s="364">
        <f>'[2]1. Estado de Resultados'!E20</f>
        <v>18439</v>
      </c>
      <c r="F63" s="387">
        <f>+F58</f>
        <v>16522423948.166666</v>
      </c>
      <c r="G63" s="387">
        <f>+G58</f>
        <v>14253728943.553335</v>
      </c>
      <c r="H63" s="387">
        <f>+H58</f>
        <v>11175220610.993334</v>
      </c>
      <c r="I63" s="387">
        <f>+I58</f>
        <v>9952376060.7333336</v>
      </c>
    </row>
    <row r="64" spans="1:9" ht="12.75" customHeight="1" outlineLevel="1" thickBot="1">
      <c r="A64" s="382" t="str">
        <f>+A19</f>
        <v>Total activos</v>
      </c>
      <c r="B64" s="383">
        <f>'[2]2. Balance General'!B20</f>
        <v>37183</v>
      </c>
      <c r="C64" s="384">
        <f>'[2]2. Balance General'!C20</f>
        <v>38803</v>
      </c>
      <c r="D64" s="384">
        <f>'[2]2. Balance General'!D20</f>
        <v>37822</v>
      </c>
      <c r="E64" s="384">
        <f>'[2]2. Balance General'!E20</f>
        <v>38472</v>
      </c>
      <c r="F64" s="389">
        <f>+F19</f>
        <v>6211975122.1466665</v>
      </c>
      <c r="G64" s="389">
        <f>+G19</f>
        <v>5837075181.4800005</v>
      </c>
      <c r="H64" s="389">
        <f>+H19</f>
        <v>5456405814.3866663</v>
      </c>
      <c r="I64" s="389">
        <f>+I19</f>
        <v>5452583548.2333336</v>
      </c>
    </row>
    <row r="65" spans="1:10" ht="12.75" customHeight="1" thickTop="1">
      <c r="A65" s="378" t="s">
        <v>283</v>
      </c>
      <c r="B65" s="373">
        <f t="shared" ref="B65:I65" si="12">B63/B64</f>
        <v>0.77858160987548075</v>
      </c>
      <c r="C65" s="372">
        <f t="shared" si="12"/>
        <v>0.7545808313790171</v>
      </c>
      <c r="D65" s="372">
        <f t="shared" si="12"/>
        <v>0.71125271006292634</v>
      </c>
      <c r="E65" s="372">
        <f t="shared" si="12"/>
        <v>0.47928363485132042</v>
      </c>
      <c r="F65" s="369">
        <f t="shared" si="12"/>
        <v>2.6597698193062027</v>
      </c>
      <c r="G65" s="369">
        <f t="shared" si="12"/>
        <v>2.4419299906874383</v>
      </c>
      <c r="H65" s="369">
        <f t="shared" si="12"/>
        <v>2.0480919108927198</v>
      </c>
      <c r="I65" s="369">
        <f t="shared" si="12"/>
        <v>1.8252587920377592</v>
      </c>
    </row>
    <row r="66" spans="1:10" ht="12.75" customHeight="1">
      <c r="A66" s="395"/>
      <c r="B66" s="396"/>
      <c r="C66" s="396"/>
      <c r="D66" s="396"/>
      <c r="E66" s="396"/>
      <c r="F66" s="397">
        <f>+F65-'7.Dupont'!H34</f>
        <v>0</v>
      </c>
      <c r="G66" s="397">
        <f>+G65-'7.Dupont'!H35</f>
        <v>0</v>
      </c>
      <c r="H66" s="397">
        <f>+H65-'7.Dupont'!H36</f>
        <v>0</v>
      </c>
      <c r="I66" s="398">
        <f>+I65-'7.Dupont'!H37</f>
        <v>0</v>
      </c>
    </row>
    <row r="67" spans="1:10" ht="12.75" customHeight="1">
      <c r="A67"/>
      <c r="B67"/>
      <c r="C67"/>
      <c r="D67"/>
      <c r="E67"/>
      <c r="F67"/>
      <c r="G67"/>
      <c r="H67"/>
      <c r="I67"/>
    </row>
    <row r="68" spans="1:10" ht="12.75" customHeight="1">
      <c r="A68" s="381" t="s">
        <v>282</v>
      </c>
      <c r="B68" s="361">
        <f>'[2]1. Estado de Resultados'!B6</f>
        <v>2006</v>
      </c>
      <c r="C68" s="362">
        <f>'[2]1. Estado de Resultados'!C6</f>
        <v>2007</v>
      </c>
      <c r="D68" s="362">
        <f>'[2]1. Estado de Resultados'!D6</f>
        <v>2008</v>
      </c>
      <c r="E68" s="362">
        <f>'[2]1. Estado de Resultados'!E6</f>
        <v>2009</v>
      </c>
      <c r="F68" s="150">
        <f>+F5</f>
        <v>39721</v>
      </c>
      <c r="G68" s="150">
        <f>+G5</f>
        <v>40086</v>
      </c>
      <c r="H68" s="150">
        <f>+H5</f>
        <v>40451</v>
      </c>
      <c r="I68" s="150">
        <f>+I5</f>
        <v>40816</v>
      </c>
    </row>
    <row r="69" spans="1:10" ht="12.75" customHeight="1" outlineLevel="1">
      <c r="A69" s="379" t="s">
        <v>281</v>
      </c>
      <c r="C69" s="366"/>
      <c r="D69" s="366"/>
      <c r="E69" s="366"/>
      <c r="F69" s="366"/>
      <c r="G69" s="366"/>
    </row>
    <row r="70" spans="1:10" ht="12.75" customHeight="1" outlineLevel="1">
      <c r="A70" s="377" t="s">
        <v>280</v>
      </c>
      <c r="B70" s="364">
        <f>'[2]1. Estado de Resultados'!B26</f>
        <v>6995</v>
      </c>
      <c r="C70" s="364">
        <f>'[2]1. Estado de Resultados'!C26</f>
        <v>6477</v>
      </c>
      <c r="D70" s="364">
        <f>'[2]1. Estado de Resultados'!D26</f>
        <v>4726</v>
      </c>
      <c r="E70" s="364">
        <f>'[2]1. Estado de Resultados'!E26</f>
        <v>1537</v>
      </c>
      <c r="F70" s="387">
        <f>+'2.Estado Resultados'!B10</f>
        <v>2373343260.4599991</v>
      </c>
      <c r="G70" s="387">
        <f>+'2.Estado Resultados'!C10</f>
        <v>2358800566.980001</v>
      </c>
      <c r="H70" s="387">
        <f>+'2.Estado Resultados'!D10</f>
        <v>1834564302.2133331</v>
      </c>
      <c r="I70" s="387">
        <f>+'2.Estado Resultados'!E10</f>
        <v>1678581581.5466664</v>
      </c>
    </row>
    <row r="71" spans="1:10" ht="12.75" customHeight="1" outlineLevel="1" thickBot="1">
      <c r="A71" s="382" t="s">
        <v>275</v>
      </c>
      <c r="B71" s="383">
        <f>'[2]1. Estado de Resultados'!B20</f>
        <v>28950</v>
      </c>
      <c r="C71" s="384">
        <f>'[2]1. Estado de Resultados'!C20</f>
        <v>29280</v>
      </c>
      <c r="D71" s="384">
        <f>'[2]1. Estado de Resultados'!D20</f>
        <v>26901</v>
      </c>
      <c r="E71" s="384">
        <f>'[2]1. Estado de Resultados'!E20</f>
        <v>18439</v>
      </c>
      <c r="F71" s="389">
        <f>+F63</f>
        <v>16522423948.166666</v>
      </c>
      <c r="G71" s="389">
        <f>+G63</f>
        <v>14253728943.553335</v>
      </c>
      <c r="H71" s="389">
        <f>+H63</f>
        <v>11175220610.993334</v>
      </c>
      <c r="I71" s="389">
        <f>+I63</f>
        <v>9952376060.7333336</v>
      </c>
    </row>
    <row r="72" spans="1:10" s="376" customFormat="1" ht="12.75" customHeight="1" thickTop="1">
      <c r="A72" s="378" t="s">
        <v>279</v>
      </c>
      <c r="B72" s="375">
        <f t="shared" ref="B72:I72" si="13">B70/B71</f>
        <v>0.24162348877374784</v>
      </c>
      <c r="C72" s="375">
        <f t="shared" si="13"/>
        <v>0.22120901639344262</v>
      </c>
      <c r="D72" s="375">
        <f t="shared" si="13"/>
        <v>0.17568120144232557</v>
      </c>
      <c r="E72" s="375">
        <f t="shared" si="13"/>
        <v>8.3355930364987257E-2</v>
      </c>
      <c r="F72" s="391">
        <f t="shared" si="13"/>
        <v>0.14364376969780793</v>
      </c>
      <c r="G72" s="391">
        <f t="shared" si="13"/>
        <v>0.16548655978524393</v>
      </c>
      <c r="H72" s="391">
        <f t="shared" si="13"/>
        <v>0.16416358710705253</v>
      </c>
      <c r="I72" s="391">
        <f t="shared" si="13"/>
        <v>0.16866139013470732</v>
      </c>
      <c r="J72" s="368"/>
    </row>
    <row r="73" spans="1:10" ht="12.75" customHeight="1" outlineLevel="1">
      <c r="A73" s="363"/>
      <c r="B73" s="367"/>
      <c r="C73" s="367"/>
      <c r="D73" s="367"/>
      <c r="E73" s="367"/>
      <c r="F73" s="392">
        <f>+F72-'7.Dupont'!N14</f>
        <v>0</v>
      </c>
      <c r="G73" s="392">
        <f>+G72-'7.Dupont'!N15</f>
        <v>0</v>
      </c>
      <c r="H73" s="392">
        <f>+H72-'7.Dupont'!N16</f>
        <v>0</v>
      </c>
      <c r="I73" s="392">
        <f>+I72-'7.Dupont'!N17</f>
        <v>0</v>
      </c>
    </row>
    <row r="74" spans="1:10" ht="12.75" customHeight="1" outlineLevel="1">
      <c r="A74" s="379" t="s">
        <v>278</v>
      </c>
      <c r="B74" s="367"/>
      <c r="C74" s="367"/>
      <c r="D74" s="367"/>
      <c r="E74" s="367"/>
      <c r="F74" s="367"/>
      <c r="G74" s="367"/>
    </row>
    <row r="75" spans="1:10" ht="12.75" customHeight="1" outlineLevel="1">
      <c r="A75" s="377" t="s">
        <v>272</v>
      </c>
      <c r="B75" s="364">
        <f>'[2]1. Estado de Resultados'!B41</f>
        <v>3663</v>
      </c>
      <c r="C75" s="364">
        <f>'[2]1. Estado de Resultados'!C41</f>
        <v>3283</v>
      </c>
      <c r="D75" s="364">
        <f>'[2]1. Estado de Resultados'!D41</f>
        <v>1140</v>
      </c>
      <c r="E75" s="364">
        <f>'[2]1. Estado de Resultados'!E41</f>
        <v>-1189</v>
      </c>
      <c r="F75" s="387">
        <f>+'2.Estado Resultados'!B13</f>
        <v>381884652.02666569</v>
      </c>
      <c r="G75" s="387">
        <f>+'2.Estado Resultados'!C13</f>
        <v>404517531.68666744</v>
      </c>
      <c r="H75" s="387">
        <f>+'2.Estado Resultados'!D13</f>
        <v>69924765.399999693</v>
      </c>
      <c r="I75" s="387">
        <f>+'2.Estado Resultados'!E13</f>
        <v>84946960.013333157</v>
      </c>
    </row>
    <row r="76" spans="1:10" ht="12.75" customHeight="1" outlineLevel="1" thickBot="1">
      <c r="A76" s="382" t="s">
        <v>275</v>
      </c>
      <c r="B76" s="383">
        <f>'[2]1. Estado de Resultados'!B20</f>
        <v>28950</v>
      </c>
      <c r="C76" s="384">
        <f>'[2]1. Estado de Resultados'!C20</f>
        <v>29280</v>
      </c>
      <c r="D76" s="384">
        <f>'[2]1. Estado de Resultados'!D20</f>
        <v>26901</v>
      </c>
      <c r="E76" s="384">
        <f>'[2]1. Estado de Resultados'!E20</f>
        <v>18439</v>
      </c>
      <c r="F76" s="389">
        <f>+F71</f>
        <v>16522423948.166666</v>
      </c>
      <c r="G76" s="389">
        <f>+G71</f>
        <v>14253728943.553335</v>
      </c>
      <c r="H76" s="389">
        <f>+H71</f>
        <v>11175220610.993334</v>
      </c>
      <c r="I76" s="389">
        <f>+I71</f>
        <v>9952376060.7333336</v>
      </c>
    </row>
    <row r="77" spans="1:10" ht="12.75" customHeight="1" thickTop="1">
      <c r="A77" s="378" t="s">
        <v>277</v>
      </c>
      <c r="B77" s="375">
        <f>B75/B76</f>
        <v>0.12652849740932642</v>
      </c>
      <c r="C77" s="375">
        <f>C75/C76</f>
        <v>0.11212431693989071</v>
      </c>
      <c r="D77" s="375">
        <f>D75/D76</f>
        <v>4.2377606780417083E-2</v>
      </c>
      <c r="E77" s="375" t="s">
        <v>265</v>
      </c>
      <c r="F77" s="391">
        <f>F75/F76</f>
        <v>2.3113113016873032E-2</v>
      </c>
      <c r="G77" s="391">
        <f>G75/G76</f>
        <v>2.8379768781110596E-2</v>
      </c>
      <c r="H77" s="391">
        <f>H75/H76</f>
        <v>6.2571261753180084E-3</v>
      </c>
      <c r="I77" s="391">
        <f>I75/I76</f>
        <v>8.5353446749754248E-3</v>
      </c>
    </row>
    <row r="78" spans="1:10" ht="12.75" customHeight="1" outlineLevel="1">
      <c r="A78" s="363"/>
      <c r="B78" s="367"/>
      <c r="C78" s="367"/>
      <c r="D78" s="367"/>
      <c r="E78" s="367"/>
      <c r="F78" s="392">
        <f>+F77-'7.Dupont'!K17</f>
        <v>0</v>
      </c>
      <c r="G78" s="392">
        <f>+G77-'7.Dupont'!K18</f>
        <v>0</v>
      </c>
      <c r="H78" s="392">
        <f>+H77-'7.Dupont'!K19</f>
        <v>0</v>
      </c>
      <c r="I78" s="392">
        <f>+I77-'7.Dupont'!K20</f>
        <v>0</v>
      </c>
    </row>
    <row r="79" spans="1:10" ht="12.75" customHeight="1" outlineLevel="1">
      <c r="A79" s="379" t="s">
        <v>276</v>
      </c>
      <c r="B79" s="367"/>
      <c r="C79" s="367"/>
      <c r="D79" s="367"/>
      <c r="E79" s="367"/>
      <c r="F79" s="367"/>
      <c r="G79" s="367"/>
    </row>
    <row r="80" spans="1:10" ht="12.75" customHeight="1" outlineLevel="1">
      <c r="A80" s="377" t="s">
        <v>267</v>
      </c>
      <c r="B80" s="364">
        <f>'[2]1. Estado de Resultados'!B66</f>
        <v>2248</v>
      </c>
      <c r="C80" s="364">
        <f>'[2]1. Estado de Resultados'!C66</f>
        <v>2564</v>
      </c>
      <c r="D80" s="364">
        <f>'[2]1. Estado de Resultados'!D66</f>
        <v>-74</v>
      </c>
      <c r="E80" s="364">
        <f>'[2]1. Estado de Resultados'!E66</f>
        <v>-1151</v>
      </c>
      <c r="F80" s="387">
        <f>+'2.Estado Resultados'!B20</f>
        <v>105111764.87333234</v>
      </c>
      <c r="G80" s="387">
        <f>+'2.Estado Resultados'!C20</f>
        <v>81809372.00666745</v>
      </c>
      <c r="H80" s="387">
        <f>+'2.Estado Resultados'!D20</f>
        <v>11445051.166666368</v>
      </c>
      <c r="I80" s="387">
        <f>+'2.Estado Resultados'!E20</f>
        <v>111822094.50666654</v>
      </c>
    </row>
    <row r="81" spans="1:9" ht="12.75" customHeight="1" outlineLevel="1" thickBot="1">
      <c r="A81" s="382" t="s">
        <v>275</v>
      </c>
      <c r="B81" s="383">
        <f>'[2]1. Estado de Resultados'!B20</f>
        <v>28950</v>
      </c>
      <c r="C81" s="384">
        <f>'[2]1. Estado de Resultados'!C20</f>
        <v>29280</v>
      </c>
      <c r="D81" s="384">
        <f>'[2]1. Estado de Resultados'!D20</f>
        <v>26901</v>
      </c>
      <c r="E81" s="384">
        <f>'[2]1. Estado de Resultados'!E20</f>
        <v>18439</v>
      </c>
      <c r="F81" s="389">
        <f>+F76</f>
        <v>16522423948.166666</v>
      </c>
      <c r="G81" s="389">
        <f>+G76</f>
        <v>14253728943.553335</v>
      </c>
      <c r="H81" s="389">
        <f>+H76</f>
        <v>11175220610.993334</v>
      </c>
      <c r="I81" s="389">
        <f>+I76</f>
        <v>9952376060.7333336</v>
      </c>
    </row>
    <row r="82" spans="1:9" ht="12.75" customHeight="1" thickTop="1">
      <c r="A82" s="378" t="s">
        <v>274</v>
      </c>
      <c r="B82" s="375">
        <f>B80/B81</f>
        <v>7.7651122625215896E-2</v>
      </c>
      <c r="C82" s="375">
        <f>C80/C81</f>
        <v>8.7568306010928965E-2</v>
      </c>
      <c r="D82" s="375" t="s">
        <v>265</v>
      </c>
      <c r="E82" s="375" t="s">
        <v>265</v>
      </c>
      <c r="F82" s="393">
        <f>F80/F81</f>
        <v>6.3617641820040314E-3</v>
      </c>
      <c r="G82" s="393">
        <f>G80/G81</f>
        <v>5.7395066463409999E-3</v>
      </c>
      <c r="H82" s="393">
        <f>H80/H81</f>
        <v>1.0241454343556846E-3</v>
      </c>
      <c r="I82" s="393">
        <f>I80/I81</f>
        <v>1.1235718367582165E-2</v>
      </c>
    </row>
    <row r="83" spans="1:9" ht="12.75" customHeight="1" outlineLevel="1">
      <c r="A83" s="363"/>
      <c r="B83" s="367"/>
      <c r="C83" s="367"/>
      <c r="D83" s="367"/>
      <c r="E83" s="367"/>
      <c r="F83" s="387">
        <f>+'7.Dupont'!H19-'6. Índices financieros'!F82</f>
        <v>0</v>
      </c>
      <c r="G83" s="387">
        <f>+G82-'7.Dupont'!H20</f>
        <v>0</v>
      </c>
      <c r="H83" s="387">
        <f>+H82-'7.Dupont'!H21</f>
        <v>0</v>
      </c>
      <c r="I83" s="387">
        <f>+I82-'7.Dupont'!H22</f>
        <v>0</v>
      </c>
    </row>
    <row r="84" spans="1:9" ht="12.75" customHeight="1" outlineLevel="1">
      <c r="A84" s="379" t="s">
        <v>273</v>
      </c>
      <c r="B84" s="367"/>
      <c r="C84" s="367"/>
      <c r="D84" s="367"/>
      <c r="E84" s="367"/>
      <c r="F84" s="367"/>
      <c r="G84" s="367"/>
    </row>
    <row r="85" spans="1:9" ht="12.75" customHeight="1" outlineLevel="1">
      <c r="A85" s="394" t="s">
        <v>272</v>
      </c>
      <c r="B85" s="387">
        <f>'[2]1. Estado de Resultados'!B41</f>
        <v>3663</v>
      </c>
      <c r="C85" s="387">
        <f>'[2]1. Estado de Resultados'!C41</f>
        <v>3283</v>
      </c>
      <c r="D85" s="387">
        <f>'[2]1. Estado de Resultados'!D41</f>
        <v>1140</v>
      </c>
      <c r="E85" s="387">
        <f>'[2]1. Estado de Resultados'!E41</f>
        <v>-1189</v>
      </c>
      <c r="F85" s="387">
        <f>+F75</f>
        <v>381884652.02666569</v>
      </c>
      <c r="G85" s="387">
        <f>+G75</f>
        <v>404517531.68666744</v>
      </c>
      <c r="H85" s="387">
        <f>+H75</f>
        <v>69924765.399999693</v>
      </c>
      <c r="I85" s="387">
        <f>+I75</f>
        <v>84946960.013333157</v>
      </c>
    </row>
    <row r="86" spans="1:9" ht="12.75" customHeight="1" outlineLevel="1" thickBot="1">
      <c r="A86" s="382" t="str">
        <f>+A64</f>
        <v>Total activos</v>
      </c>
      <c r="B86" s="383">
        <f>'[2]2. Balance General'!B20</f>
        <v>37183</v>
      </c>
      <c r="C86" s="384">
        <f>'[2]2. Balance General'!C20</f>
        <v>38803</v>
      </c>
      <c r="D86" s="384">
        <f>'[2]2. Balance General'!D20</f>
        <v>37822</v>
      </c>
      <c r="E86" s="384">
        <f>'[2]2. Balance General'!E20</f>
        <v>38472</v>
      </c>
      <c r="F86" s="389">
        <f>+F64</f>
        <v>6211975122.1466665</v>
      </c>
      <c r="G86" s="389">
        <f>+G64</f>
        <v>5837075181.4800005</v>
      </c>
      <c r="H86" s="389">
        <f>+H64</f>
        <v>5456405814.3866663</v>
      </c>
      <c r="I86" s="389">
        <f>+I64</f>
        <v>5452583548.2333336</v>
      </c>
    </row>
    <row r="87" spans="1:9" ht="12.75" customHeight="1" thickTop="1">
      <c r="A87" s="378" t="s">
        <v>271</v>
      </c>
      <c r="B87" s="375">
        <f>B85/B86</f>
        <v>9.8512761208078961E-2</v>
      </c>
      <c r="C87" s="375">
        <f>C85/C86</f>
        <v>8.460686029430714E-2</v>
      </c>
      <c r="D87" s="375">
        <f>D85/D86</f>
        <v>3.0141187668552696E-2</v>
      </c>
      <c r="E87" s="375" t="s">
        <v>265</v>
      </c>
      <c r="F87" s="391">
        <f>F85/F86</f>
        <v>6.1475560432492228E-2</v>
      </c>
      <c r="G87" s="391">
        <f>G85/G86</f>
        <v>6.9301408515369048E-2</v>
      </c>
      <c r="H87" s="391">
        <f>H85/H86</f>
        <v>1.2815169505103915E-2</v>
      </c>
      <c r="I87" s="391">
        <f>I85/I86</f>
        <v>1.5579212911071566E-2</v>
      </c>
    </row>
    <row r="88" spans="1:9" ht="12.75" customHeight="1" outlineLevel="1">
      <c r="A88" s="363"/>
      <c r="B88" s="364"/>
      <c r="C88" s="364"/>
      <c r="D88" s="364"/>
      <c r="E88" s="364"/>
      <c r="F88" s="364"/>
      <c r="G88" s="364"/>
    </row>
    <row r="89" spans="1:9" ht="12.75" customHeight="1" outlineLevel="1">
      <c r="A89" s="379" t="s">
        <v>270</v>
      </c>
      <c r="B89" s="364"/>
      <c r="C89" s="364"/>
      <c r="D89" s="364"/>
      <c r="E89" s="364"/>
      <c r="F89" s="364"/>
      <c r="G89" s="364"/>
    </row>
    <row r="90" spans="1:9" ht="12.75" customHeight="1" outlineLevel="1">
      <c r="A90" s="377" t="s">
        <v>267</v>
      </c>
      <c r="B90" s="364">
        <f>'[2]1. Estado de Resultados'!B66</f>
        <v>2248</v>
      </c>
      <c r="C90" s="364">
        <f>'[2]1. Estado de Resultados'!C66</f>
        <v>2564</v>
      </c>
      <c r="D90" s="364">
        <f>'[2]1. Estado de Resultados'!D66</f>
        <v>-74</v>
      </c>
      <c r="E90" s="364">
        <f>'[2]1. Estado de Resultados'!E66</f>
        <v>-1151</v>
      </c>
      <c r="F90" s="387">
        <f>+F80</f>
        <v>105111764.87333234</v>
      </c>
      <c r="G90" s="387">
        <f>+G80</f>
        <v>81809372.00666745</v>
      </c>
      <c r="H90" s="387">
        <f>+H80</f>
        <v>11445051.166666368</v>
      </c>
      <c r="I90" s="387">
        <f>+I80</f>
        <v>111822094.50666654</v>
      </c>
    </row>
    <row r="91" spans="1:9" ht="12.75" customHeight="1" outlineLevel="1" thickBot="1">
      <c r="A91" s="382" t="str">
        <f>+A64</f>
        <v>Total activos</v>
      </c>
      <c r="B91" s="383">
        <f>'[2]2. Balance General'!B20</f>
        <v>37183</v>
      </c>
      <c r="C91" s="384">
        <f>'[2]2. Balance General'!C20</f>
        <v>38803</v>
      </c>
      <c r="D91" s="384">
        <f>'[2]2. Balance General'!D20</f>
        <v>37822</v>
      </c>
      <c r="E91" s="384">
        <f>'[2]2. Balance General'!E20</f>
        <v>38472</v>
      </c>
      <c r="F91" s="389">
        <f>+F64</f>
        <v>6211975122.1466665</v>
      </c>
      <c r="G91" s="389">
        <f>+G64</f>
        <v>5837075181.4800005</v>
      </c>
      <c r="H91" s="389">
        <f>+H64</f>
        <v>5456405814.3866663</v>
      </c>
      <c r="I91" s="389">
        <f>+I64</f>
        <v>5452583548.2333336</v>
      </c>
    </row>
    <row r="92" spans="1:9" ht="12.75" customHeight="1" thickTop="1">
      <c r="A92" s="378" t="s">
        <v>269</v>
      </c>
      <c r="B92" s="375">
        <f>B90/B91</f>
        <v>6.0457736062178954E-2</v>
      </c>
      <c r="C92" s="375">
        <f>C90/C91</f>
        <v>6.6077365152178949E-2</v>
      </c>
      <c r="D92" s="375" t="s">
        <v>265</v>
      </c>
      <c r="E92" s="375" t="s">
        <v>265</v>
      </c>
      <c r="F92" s="391">
        <f>F90/F91</f>
        <v>1.6920828368837536E-2</v>
      </c>
      <c r="G92" s="391">
        <f>G90/G91</f>
        <v>1.4015473411449968E-2</v>
      </c>
      <c r="H92" s="391">
        <f>H90/H91</f>
        <v>2.0975439796815888E-3</v>
      </c>
      <c r="I92" s="391">
        <f>I90/I91</f>
        <v>2.0508093735289484E-2</v>
      </c>
    </row>
    <row r="93" spans="1:9" ht="12.75" customHeight="1" outlineLevel="1">
      <c r="A93" s="363"/>
      <c r="B93" s="364"/>
      <c r="C93" s="364"/>
      <c r="D93" s="364"/>
      <c r="E93" s="364"/>
      <c r="F93" s="387"/>
      <c r="G93" s="364"/>
    </row>
    <row r="94" spans="1:9" ht="12.75" customHeight="1" outlineLevel="1">
      <c r="A94" s="379" t="s">
        <v>268</v>
      </c>
      <c r="B94" s="364"/>
      <c r="C94" s="364"/>
      <c r="D94" s="364"/>
      <c r="E94" s="364"/>
      <c r="F94" s="364"/>
      <c r="G94" s="364"/>
    </row>
    <row r="95" spans="1:9" ht="12.75" customHeight="1" outlineLevel="1">
      <c r="A95" s="377" t="s">
        <v>267</v>
      </c>
      <c r="B95" s="364">
        <f>'[2]1. Estado de Resultados'!B66</f>
        <v>2248</v>
      </c>
      <c r="C95" s="364">
        <f>'[2]1. Estado de Resultados'!C66</f>
        <v>2564</v>
      </c>
      <c r="D95" s="364">
        <f>'[2]1. Estado de Resultados'!D66</f>
        <v>-74</v>
      </c>
      <c r="E95" s="364">
        <f>'[2]1. Estado de Resultados'!E66</f>
        <v>-1151</v>
      </c>
      <c r="F95" s="387">
        <f>+F80</f>
        <v>105111764.87333234</v>
      </c>
      <c r="G95" s="387">
        <f>+G80</f>
        <v>81809372.00666745</v>
      </c>
      <c r="H95" s="387">
        <f>+H80</f>
        <v>11445051.166666368</v>
      </c>
      <c r="I95" s="387">
        <f>+I80</f>
        <v>111822094.50666654</v>
      </c>
    </row>
    <row r="96" spans="1:9" ht="12.75" customHeight="1" outlineLevel="1" thickBot="1">
      <c r="A96" s="382" t="s">
        <v>37</v>
      </c>
      <c r="B96" s="383">
        <f>'[2]2. Balance General'!B46-'[2]2. Balance General'!B45-'[2]2. Balance General'!B36</f>
        <v>14631</v>
      </c>
      <c r="C96" s="384">
        <f>'[2]2. Balance General'!C46-'[2]2. Balance General'!C45-'[2]2. Balance General'!C36</f>
        <v>16016</v>
      </c>
      <c r="D96" s="384">
        <f>'[2]2. Balance General'!D46-'[2]2. Balance General'!D45-'[2]2. Balance General'!D36</f>
        <v>11735</v>
      </c>
      <c r="E96" s="384">
        <f>'[2]2. Balance General'!E46-'[2]2. Balance General'!E45-'[2]2. Balance General'!E36</f>
        <v>12420</v>
      </c>
      <c r="F96" s="389">
        <f>+F24</f>
        <v>2019493199.0133333</v>
      </c>
      <c r="G96" s="389">
        <f>+G24</f>
        <v>2101302571.0200002</v>
      </c>
      <c r="H96" s="389">
        <f>+H24</f>
        <v>2112747622.1866667</v>
      </c>
      <c r="I96" s="389">
        <f>+I24</f>
        <v>2083056184.1066666</v>
      </c>
    </row>
    <row r="97" spans="1:9" ht="12.75" customHeight="1" thickTop="1">
      <c r="A97" s="378" t="s">
        <v>266</v>
      </c>
      <c r="B97" s="375">
        <f>B95/B96</f>
        <v>0.15364636730230333</v>
      </c>
      <c r="C97" s="375">
        <f>C95/C96</f>
        <v>0.16008991008991008</v>
      </c>
      <c r="D97" s="375" t="s">
        <v>265</v>
      </c>
      <c r="E97" s="375" t="s">
        <v>265</v>
      </c>
      <c r="F97" s="391">
        <f>F95/F96</f>
        <v>5.2048585716796145E-2</v>
      </c>
      <c r="G97" s="391">
        <f>G95/G96</f>
        <v>3.893269495547045E-2</v>
      </c>
      <c r="H97" s="391">
        <f>H95/H96</f>
        <v>5.4171407159464158E-3</v>
      </c>
      <c r="I97" s="391">
        <f>I95/I96</f>
        <v>5.3681746733404714E-2</v>
      </c>
    </row>
    <row r="98" spans="1:9" ht="12.75" customHeight="1">
      <c r="A98" s="363"/>
      <c r="B98" s="364"/>
      <c r="C98" s="365"/>
    </row>
    <row r="99" spans="1:9" ht="12.75" customHeight="1">
      <c r="A99" s="363"/>
      <c r="B99" s="364"/>
      <c r="C99" s="365"/>
    </row>
    <row r="100" spans="1:9" ht="12.75" customHeight="1">
      <c r="A100" s="363"/>
      <c r="B100" s="364"/>
      <c r="C100" s="365"/>
    </row>
    <row r="101" spans="1:9" ht="12.75" customHeight="1">
      <c r="A101" s="363"/>
      <c r="B101" s="364"/>
      <c r="C101" s="365"/>
    </row>
    <row r="102" spans="1:9" ht="12.75" customHeight="1">
      <c r="A102" s="363"/>
      <c r="B102" s="364"/>
      <c r="C102" s="365"/>
    </row>
  </sheetData>
  <pageMargins left="0.7" right="0.7" top="0.75" bottom="0.75" header="0.3" footer="0.3"/>
  <pageSetup orientation="portrait" horizontalDpi="4294967293" verticalDpi="0" r:id="rId1"/>
  <tableParts count="3">
    <tablePart r:id="rId2"/>
    <tablePart r:id="rId3"/>
    <tablePart r:id="rId4"/>
  </tableParts>
</worksheet>
</file>

<file path=xl/worksheets/sheet8.xml><?xml version="1.0" encoding="utf-8"?>
<worksheet xmlns="http://schemas.openxmlformats.org/spreadsheetml/2006/main" xmlns:r="http://schemas.openxmlformats.org/officeDocument/2006/relationships">
  <dimension ref="A1:U121"/>
  <sheetViews>
    <sheetView showGridLines="0" topLeftCell="A29" zoomScale="70" zoomScaleNormal="70" workbookViewId="0">
      <selection activeCell="A55" sqref="A55"/>
    </sheetView>
  </sheetViews>
  <sheetFormatPr defaultColWidth="11.42578125" defaultRowHeight="12.75"/>
  <cols>
    <col min="1" max="1" width="27.5703125" style="112" bestFit="1" customWidth="1"/>
    <col min="2" max="2" width="28.7109375" style="112" customWidth="1"/>
    <col min="3" max="3" width="6.28515625" style="112" customWidth="1"/>
    <col min="4" max="4" width="19" style="112" bestFit="1" customWidth="1"/>
    <col min="5" max="5" width="19" style="113" bestFit="1" customWidth="1"/>
    <col min="6" max="6" width="18.7109375" style="112" bestFit="1" customWidth="1"/>
    <col min="7" max="7" width="11.42578125" style="112"/>
    <col min="8" max="8" width="18.42578125" style="113" bestFit="1" customWidth="1"/>
    <col min="9" max="10" width="11.42578125" style="112"/>
    <col min="11" max="11" width="21.7109375" style="113" customWidth="1"/>
    <col min="12" max="13" width="11.42578125" style="112"/>
    <col min="14" max="14" width="12.7109375" style="113" customWidth="1"/>
    <col min="15" max="15" width="25.28515625" style="112" customWidth="1"/>
    <col min="16" max="16" width="11.42578125" style="114"/>
    <col min="17" max="17" width="14.5703125" style="113" bestFit="1" customWidth="1"/>
    <col min="18" max="18" width="15.5703125" style="115" customWidth="1"/>
    <col min="19" max="257" width="11.42578125" style="112"/>
    <col min="258" max="258" width="12.7109375" style="112" customWidth="1"/>
    <col min="259" max="259" width="17.5703125" style="112" customWidth="1"/>
    <col min="260" max="261" width="11.42578125" style="112"/>
    <col min="262" max="262" width="15.5703125" style="112" customWidth="1"/>
    <col min="263" max="266" width="11.42578125" style="112"/>
    <col min="267" max="267" width="42" style="112" bestFit="1" customWidth="1"/>
    <col min="268" max="268" width="18.28515625" style="112" customWidth="1"/>
    <col min="269" max="269" width="11.42578125" style="112" customWidth="1"/>
    <col min="270" max="270" width="20.28515625" style="112" customWidth="1"/>
    <col min="271" max="271" width="9.42578125" style="112" customWidth="1"/>
    <col min="272" max="272" width="17.140625" style="112" customWidth="1"/>
    <col min="273" max="273" width="9.7109375" style="112" bestFit="1" customWidth="1"/>
    <col min="274" max="274" width="18.85546875" style="112" customWidth="1"/>
    <col min="275" max="275" width="11.42578125" style="112"/>
    <col min="276" max="276" width="17" style="112" customWidth="1"/>
    <col min="277" max="513" width="11.42578125" style="112"/>
    <col min="514" max="514" width="12.7109375" style="112" customWidth="1"/>
    <col min="515" max="515" width="17.5703125" style="112" customWidth="1"/>
    <col min="516" max="517" width="11.42578125" style="112"/>
    <col min="518" max="518" width="15.5703125" style="112" customWidth="1"/>
    <col min="519" max="522" width="11.42578125" style="112"/>
    <col min="523" max="523" width="42" style="112" bestFit="1" customWidth="1"/>
    <col min="524" max="524" width="18.28515625" style="112" customWidth="1"/>
    <col min="525" max="525" width="11.42578125" style="112" customWidth="1"/>
    <col min="526" max="526" width="20.28515625" style="112" customWidth="1"/>
    <col min="527" max="527" width="9.42578125" style="112" customWidth="1"/>
    <col min="528" max="528" width="17.140625" style="112" customWidth="1"/>
    <col min="529" max="529" width="9.7109375" style="112" bestFit="1" customWidth="1"/>
    <col min="530" max="530" width="18.85546875" style="112" customWidth="1"/>
    <col min="531" max="531" width="11.42578125" style="112"/>
    <col min="532" max="532" width="17" style="112" customWidth="1"/>
    <col min="533" max="769" width="11.42578125" style="112"/>
    <col min="770" max="770" width="12.7109375" style="112" customWidth="1"/>
    <col min="771" max="771" width="17.5703125" style="112" customWidth="1"/>
    <col min="772" max="773" width="11.42578125" style="112"/>
    <col min="774" max="774" width="15.5703125" style="112" customWidth="1"/>
    <col min="775" max="778" width="11.42578125" style="112"/>
    <col min="779" max="779" width="42" style="112" bestFit="1" customWidth="1"/>
    <col min="780" max="780" width="18.28515625" style="112" customWidth="1"/>
    <col min="781" max="781" width="11.42578125" style="112" customWidth="1"/>
    <col min="782" max="782" width="20.28515625" style="112" customWidth="1"/>
    <col min="783" max="783" width="9.42578125" style="112" customWidth="1"/>
    <col min="784" max="784" width="17.140625" style="112" customWidth="1"/>
    <col min="785" max="785" width="9.7109375" style="112" bestFit="1" customWidth="1"/>
    <col min="786" max="786" width="18.85546875" style="112" customWidth="1"/>
    <col min="787" max="787" width="11.42578125" style="112"/>
    <col min="788" max="788" width="17" style="112" customWidth="1"/>
    <col min="789" max="1025" width="11.42578125" style="112"/>
    <col min="1026" max="1026" width="12.7109375" style="112" customWidth="1"/>
    <col min="1027" max="1027" width="17.5703125" style="112" customWidth="1"/>
    <col min="1028" max="1029" width="11.42578125" style="112"/>
    <col min="1030" max="1030" width="15.5703125" style="112" customWidth="1"/>
    <col min="1031" max="1034" width="11.42578125" style="112"/>
    <col min="1035" max="1035" width="42" style="112" bestFit="1" customWidth="1"/>
    <col min="1036" max="1036" width="18.28515625" style="112" customWidth="1"/>
    <col min="1037" max="1037" width="11.42578125" style="112" customWidth="1"/>
    <col min="1038" max="1038" width="20.28515625" style="112" customWidth="1"/>
    <col min="1039" max="1039" width="9.42578125" style="112" customWidth="1"/>
    <col min="1040" max="1040" width="17.140625" style="112" customWidth="1"/>
    <col min="1041" max="1041" width="9.7109375" style="112" bestFit="1" customWidth="1"/>
    <col min="1042" max="1042" width="18.85546875" style="112" customWidth="1"/>
    <col min="1043" max="1043" width="11.42578125" style="112"/>
    <col min="1044" max="1044" width="17" style="112" customWidth="1"/>
    <col min="1045" max="1281" width="11.42578125" style="112"/>
    <col min="1282" max="1282" width="12.7109375" style="112" customWidth="1"/>
    <col min="1283" max="1283" width="17.5703125" style="112" customWidth="1"/>
    <col min="1284" max="1285" width="11.42578125" style="112"/>
    <col min="1286" max="1286" width="15.5703125" style="112" customWidth="1"/>
    <col min="1287" max="1290" width="11.42578125" style="112"/>
    <col min="1291" max="1291" width="42" style="112" bestFit="1" customWidth="1"/>
    <col min="1292" max="1292" width="18.28515625" style="112" customWidth="1"/>
    <col min="1293" max="1293" width="11.42578125" style="112" customWidth="1"/>
    <col min="1294" max="1294" width="20.28515625" style="112" customWidth="1"/>
    <col min="1295" max="1295" width="9.42578125" style="112" customWidth="1"/>
    <col min="1296" max="1296" width="17.140625" style="112" customWidth="1"/>
    <col min="1297" max="1297" width="9.7109375" style="112" bestFit="1" customWidth="1"/>
    <col min="1298" max="1298" width="18.85546875" style="112" customWidth="1"/>
    <col min="1299" max="1299" width="11.42578125" style="112"/>
    <col min="1300" max="1300" width="17" style="112" customWidth="1"/>
    <col min="1301" max="1537" width="11.42578125" style="112"/>
    <col min="1538" max="1538" width="12.7109375" style="112" customWidth="1"/>
    <col min="1539" max="1539" width="17.5703125" style="112" customWidth="1"/>
    <col min="1540" max="1541" width="11.42578125" style="112"/>
    <col min="1542" max="1542" width="15.5703125" style="112" customWidth="1"/>
    <col min="1543" max="1546" width="11.42578125" style="112"/>
    <col min="1547" max="1547" width="42" style="112" bestFit="1" customWidth="1"/>
    <col min="1548" max="1548" width="18.28515625" style="112" customWidth="1"/>
    <col min="1549" max="1549" width="11.42578125" style="112" customWidth="1"/>
    <col min="1550" max="1550" width="20.28515625" style="112" customWidth="1"/>
    <col min="1551" max="1551" width="9.42578125" style="112" customWidth="1"/>
    <col min="1552" max="1552" width="17.140625" style="112" customWidth="1"/>
    <col min="1553" max="1553" width="9.7109375" style="112" bestFit="1" customWidth="1"/>
    <col min="1554" max="1554" width="18.85546875" style="112" customWidth="1"/>
    <col min="1555" max="1555" width="11.42578125" style="112"/>
    <col min="1556" max="1556" width="17" style="112" customWidth="1"/>
    <col min="1557" max="1793" width="11.42578125" style="112"/>
    <col min="1794" max="1794" width="12.7109375" style="112" customWidth="1"/>
    <col min="1795" max="1795" width="17.5703125" style="112" customWidth="1"/>
    <col min="1796" max="1797" width="11.42578125" style="112"/>
    <col min="1798" max="1798" width="15.5703125" style="112" customWidth="1"/>
    <col min="1799" max="1802" width="11.42578125" style="112"/>
    <col min="1803" max="1803" width="42" style="112" bestFit="1" customWidth="1"/>
    <col min="1804" max="1804" width="18.28515625" style="112" customWidth="1"/>
    <col min="1805" max="1805" width="11.42578125" style="112" customWidth="1"/>
    <col min="1806" max="1806" width="20.28515625" style="112" customWidth="1"/>
    <col min="1807" max="1807" width="9.42578125" style="112" customWidth="1"/>
    <col min="1808" max="1808" width="17.140625" style="112" customWidth="1"/>
    <col min="1809" max="1809" width="9.7109375" style="112" bestFit="1" customWidth="1"/>
    <col min="1810" max="1810" width="18.85546875" style="112" customWidth="1"/>
    <col min="1811" max="1811" width="11.42578125" style="112"/>
    <col min="1812" max="1812" width="17" style="112" customWidth="1"/>
    <col min="1813" max="2049" width="11.42578125" style="112"/>
    <col min="2050" max="2050" width="12.7109375" style="112" customWidth="1"/>
    <col min="2051" max="2051" width="17.5703125" style="112" customWidth="1"/>
    <col min="2052" max="2053" width="11.42578125" style="112"/>
    <col min="2054" max="2054" width="15.5703125" style="112" customWidth="1"/>
    <col min="2055" max="2058" width="11.42578125" style="112"/>
    <col min="2059" max="2059" width="42" style="112" bestFit="1" customWidth="1"/>
    <col min="2060" max="2060" width="18.28515625" style="112" customWidth="1"/>
    <col min="2061" max="2061" width="11.42578125" style="112" customWidth="1"/>
    <col min="2062" max="2062" width="20.28515625" style="112" customWidth="1"/>
    <col min="2063" max="2063" width="9.42578125" style="112" customWidth="1"/>
    <col min="2064" max="2064" width="17.140625" style="112" customWidth="1"/>
    <col min="2065" max="2065" width="9.7109375" style="112" bestFit="1" customWidth="1"/>
    <col min="2066" max="2066" width="18.85546875" style="112" customWidth="1"/>
    <col min="2067" max="2067" width="11.42578125" style="112"/>
    <col min="2068" max="2068" width="17" style="112" customWidth="1"/>
    <col min="2069" max="2305" width="11.42578125" style="112"/>
    <col min="2306" max="2306" width="12.7109375" style="112" customWidth="1"/>
    <col min="2307" max="2307" width="17.5703125" style="112" customWidth="1"/>
    <col min="2308" max="2309" width="11.42578125" style="112"/>
    <col min="2310" max="2310" width="15.5703125" style="112" customWidth="1"/>
    <col min="2311" max="2314" width="11.42578125" style="112"/>
    <col min="2315" max="2315" width="42" style="112" bestFit="1" customWidth="1"/>
    <col min="2316" max="2316" width="18.28515625" style="112" customWidth="1"/>
    <col min="2317" max="2317" width="11.42578125" style="112" customWidth="1"/>
    <col min="2318" max="2318" width="20.28515625" style="112" customWidth="1"/>
    <col min="2319" max="2319" width="9.42578125" style="112" customWidth="1"/>
    <col min="2320" max="2320" width="17.140625" style="112" customWidth="1"/>
    <col min="2321" max="2321" width="9.7109375" style="112" bestFit="1" customWidth="1"/>
    <col min="2322" max="2322" width="18.85546875" style="112" customWidth="1"/>
    <col min="2323" max="2323" width="11.42578125" style="112"/>
    <col min="2324" max="2324" width="17" style="112" customWidth="1"/>
    <col min="2325" max="2561" width="11.42578125" style="112"/>
    <col min="2562" max="2562" width="12.7109375" style="112" customWidth="1"/>
    <col min="2563" max="2563" width="17.5703125" style="112" customWidth="1"/>
    <col min="2564" max="2565" width="11.42578125" style="112"/>
    <col min="2566" max="2566" width="15.5703125" style="112" customWidth="1"/>
    <col min="2567" max="2570" width="11.42578125" style="112"/>
    <col min="2571" max="2571" width="42" style="112" bestFit="1" customWidth="1"/>
    <col min="2572" max="2572" width="18.28515625" style="112" customWidth="1"/>
    <col min="2573" max="2573" width="11.42578125" style="112" customWidth="1"/>
    <col min="2574" max="2574" width="20.28515625" style="112" customWidth="1"/>
    <col min="2575" max="2575" width="9.42578125" style="112" customWidth="1"/>
    <col min="2576" max="2576" width="17.140625" style="112" customWidth="1"/>
    <col min="2577" max="2577" width="9.7109375" style="112" bestFit="1" customWidth="1"/>
    <col min="2578" max="2578" width="18.85546875" style="112" customWidth="1"/>
    <col min="2579" max="2579" width="11.42578125" style="112"/>
    <col min="2580" max="2580" width="17" style="112" customWidth="1"/>
    <col min="2581" max="2817" width="11.42578125" style="112"/>
    <col min="2818" max="2818" width="12.7109375" style="112" customWidth="1"/>
    <col min="2819" max="2819" width="17.5703125" style="112" customWidth="1"/>
    <col min="2820" max="2821" width="11.42578125" style="112"/>
    <col min="2822" max="2822" width="15.5703125" style="112" customWidth="1"/>
    <col min="2823" max="2826" width="11.42578125" style="112"/>
    <col min="2827" max="2827" width="42" style="112" bestFit="1" customWidth="1"/>
    <col min="2828" max="2828" width="18.28515625" style="112" customWidth="1"/>
    <col min="2829" max="2829" width="11.42578125" style="112" customWidth="1"/>
    <col min="2830" max="2830" width="20.28515625" style="112" customWidth="1"/>
    <col min="2831" max="2831" width="9.42578125" style="112" customWidth="1"/>
    <col min="2832" max="2832" width="17.140625" style="112" customWidth="1"/>
    <col min="2833" max="2833" width="9.7109375" style="112" bestFit="1" customWidth="1"/>
    <col min="2834" max="2834" width="18.85546875" style="112" customWidth="1"/>
    <col min="2835" max="2835" width="11.42578125" style="112"/>
    <col min="2836" max="2836" width="17" style="112" customWidth="1"/>
    <col min="2837" max="3073" width="11.42578125" style="112"/>
    <col min="3074" max="3074" width="12.7109375" style="112" customWidth="1"/>
    <col min="3075" max="3075" width="17.5703125" style="112" customWidth="1"/>
    <col min="3076" max="3077" width="11.42578125" style="112"/>
    <col min="3078" max="3078" width="15.5703125" style="112" customWidth="1"/>
    <col min="3079" max="3082" width="11.42578125" style="112"/>
    <col min="3083" max="3083" width="42" style="112" bestFit="1" customWidth="1"/>
    <col min="3084" max="3084" width="18.28515625" style="112" customWidth="1"/>
    <col min="3085" max="3085" width="11.42578125" style="112" customWidth="1"/>
    <col min="3086" max="3086" width="20.28515625" style="112" customWidth="1"/>
    <col min="3087" max="3087" width="9.42578125" style="112" customWidth="1"/>
    <col min="3088" max="3088" width="17.140625" style="112" customWidth="1"/>
    <col min="3089" max="3089" width="9.7109375" style="112" bestFit="1" customWidth="1"/>
    <col min="3090" max="3090" width="18.85546875" style="112" customWidth="1"/>
    <col min="3091" max="3091" width="11.42578125" style="112"/>
    <col min="3092" max="3092" width="17" style="112" customWidth="1"/>
    <col min="3093" max="3329" width="11.42578125" style="112"/>
    <col min="3330" max="3330" width="12.7109375" style="112" customWidth="1"/>
    <col min="3331" max="3331" width="17.5703125" style="112" customWidth="1"/>
    <col min="3332" max="3333" width="11.42578125" style="112"/>
    <col min="3334" max="3334" width="15.5703125" style="112" customWidth="1"/>
    <col min="3335" max="3338" width="11.42578125" style="112"/>
    <col min="3339" max="3339" width="42" style="112" bestFit="1" customWidth="1"/>
    <col min="3340" max="3340" width="18.28515625" style="112" customWidth="1"/>
    <col min="3341" max="3341" width="11.42578125" style="112" customWidth="1"/>
    <col min="3342" max="3342" width="20.28515625" style="112" customWidth="1"/>
    <col min="3343" max="3343" width="9.42578125" style="112" customWidth="1"/>
    <col min="3344" max="3344" width="17.140625" style="112" customWidth="1"/>
    <col min="3345" max="3345" width="9.7109375" style="112" bestFit="1" customWidth="1"/>
    <col min="3346" max="3346" width="18.85546875" style="112" customWidth="1"/>
    <col min="3347" max="3347" width="11.42578125" style="112"/>
    <col min="3348" max="3348" width="17" style="112" customWidth="1"/>
    <col min="3349" max="3585" width="11.42578125" style="112"/>
    <col min="3586" max="3586" width="12.7109375" style="112" customWidth="1"/>
    <col min="3587" max="3587" width="17.5703125" style="112" customWidth="1"/>
    <col min="3588" max="3589" width="11.42578125" style="112"/>
    <col min="3590" max="3590" width="15.5703125" style="112" customWidth="1"/>
    <col min="3591" max="3594" width="11.42578125" style="112"/>
    <col min="3595" max="3595" width="42" style="112" bestFit="1" customWidth="1"/>
    <col min="3596" max="3596" width="18.28515625" style="112" customWidth="1"/>
    <col min="3597" max="3597" width="11.42578125" style="112" customWidth="1"/>
    <col min="3598" max="3598" width="20.28515625" style="112" customWidth="1"/>
    <col min="3599" max="3599" width="9.42578125" style="112" customWidth="1"/>
    <col min="3600" max="3600" width="17.140625" style="112" customWidth="1"/>
    <col min="3601" max="3601" width="9.7109375" style="112" bestFit="1" customWidth="1"/>
    <col min="3602" max="3602" width="18.85546875" style="112" customWidth="1"/>
    <col min="3603" max="3603" width="11.42578125" style="112"/>
    <col min="3604" max="3604" width="17" style="112" customWidth="1"/>
    <col min="3605" max="3841" width="11.42578125" style="112"/>
    <col min="3842" max="3842" width="12.7109375" style="112" customWidth="1"/>
    <col min="3843" max="3843" width="17.5703125" style="112" customWidth="1"/>
    <col min="3844" max="3845" width="11.42578125" style="112"/>
    <col min="3846" max="3846" width="15.5703125" style="112" customWidth="1"/>
    <col min="3847" max="3850" width="11.42578125" style="112"/>
    <col min="3851" max="3851" width="42" style="112" bestFit="1" customWidth="1"/>
    <col min="3852" max="3852" width="18.28515625" style="112" customWidth="1"/>
    <col min="3853" max="3853" width="11.42578125" style="112" customWidth="1"/>
    <col min="3854" max="3854" width="20.28515625" style="112" customWidth="1"/>
    <col min="3855" max="3855" width="9.42578125" style="112" customWidth="1"/>
    <col min="3856" max="3856" width="17.140625" style="112" customWidth="1"/>
    <col min="3857" max="3857" width="9.7109375" style="112" bestFit="1" customWidth="1"/>
    <col min="3858" max="3858" width="18.85546875" style="112" customWidth="1"/>
    <col min="3859" max="3859" width="11.42578125" style="112"/>
    <col min="3860" max="3860" width="17" style="112" customWidth="1"/>
    <col min="3861" max="4097" width="11.42578125" style="112"/>
    <col min="4098" max="4098" width="12.7109375" style="112" customWidth="1"/>
    <col min="4099" max="4099" width="17.5703125" style="112" customWidth="1"/>
    <col min="4100" max="4101" width="11.42578125" style="112"/>
    <col min="4102" max="4102" width="15.5703125" style="112" customWidth="1"/>
    <col min="4103" max="4106" width="11.42578125" style="112"/>
    <col min="4107" max="4107" width="42" style="112" bestFit="1" customWidth="1"/>
    <col min="4108" max="4108" width="18.28515625" style="112" customWidth="1"/>
    <col min="4109" max="4109" width="11.42578125" style="112" customWidth="1"/>
    <col min="4110" max="4110" width="20.28515625" style="112" customWidth="1"/>
    <col min="4111" max="4111" width="9.42578125" style="112" customWidth="1"/>
    <col min="4112" max="4112" width="17.140625" style="112" customWidth="1"/>
    <col min="4113" max="4113" width="9.7109375" style="112" bestFit="1" customWidth="1"/>
    <col min="4114" max="4114" width="18.85546875" style="112" customWidth="1"/>
    <col min="4115" max="4115" width="11.42578125" style="112"/>
    <col min="4116" max="4116" width="17" style="112" customWidth="1"/>
    <col min="4117" max="4353" width="11.42578125" style="112"/>
    <col min="4354" max="4354" width="12.7109375" style="112" customWidth="1"/>
    <col min="4355" max="4355" width="17.5703125" style="112" customWidth="1"/>
    <col min="4356" max="4357" width="11.42578125" style="112"/>
    <col min="4358" max="4358" width="15.5703125" style="112" customWidth="1"/>
    <col min="4359" max="4362" width="11.42578125" style="112"/>
    <col min="4363" max="4363" width="42" style="112" bestFit="1" customWidth="1"/>
    <col min="4364" max="4364" width="18.28515625" style="112" customWidth="1"/>
    <col min="4365" max="4365" width="11.42578125" style="112" customWidth="1"/>
    <col min="4366" max="4366" width="20.28515625" style="112" customWidth="1"/>
    <col min="4367" max="4367" width="9.42578125" style="112" customWidth="1"/>
    <col min="4368" max="4368" width="17.140625" style="112" customWidth="1"/>
    <col min="4369" max="4369" width="9.7109375" style="112" bestFit="1" customWidth="1"/>
    <col min="4370" max="4370" width="18.85546875" style="112" customWidth="1"/>
    <col min="4371" max="4371" width="11.42578125" style="112"/>
    <col min="4372" max="4372" width="17" style="112" customWidth="1"/>
    <col min="4373" max="4609" width="11.42578125" style="112"/>
    <col min="4610" max="4610" width="12.7109375" style="112" customWidth="1"/>
    <col min="4611" max="4611" width="17.5703125" style="112" customWidth="1"/>
    <col min="4612" max="4613" width="11.42578125" style="112"/>
    <col min="4614" max="4614" width="15.5703125" style="112" customWidth="1"/>
    <col min="4615" max="4618" width="11.42578125" style="112"/>
    <col min="4619" max="4619" width="42" style="112" bestFit="1" customWidth="1"/>
    <col min="4620" max="4620" width="18.28515625" style="112" customWidth="1"/>
    <col min="4621" max="4621" width="11.42578125" style="112" customWidth="1"/>
    <col min="4622" max="4622" width="20.28515625" style="112" customWidth="1"/>
    <col min="4623" max="4623" width="9.42578125" style="112" customWidth="1"/>
    <col min="4624" max="4624" width="17.140625" style="112" customWidth="1"/>
    <col min="4625" max="4625" width="9.7109375" style="112" bestFit="1" customWidth="1"/>
    <col min="4626" max="4626" width="18.85546875" style="112" customWidth="1"/>
    <col min="4627" max="4627" width="11.42578125" style="112"/>
    <col min="4628" max="4628" width="17" style="112" customWidth="1"/>
    <col min="4629" max="4865" width="11.42578125" style="112"/>
    <col min="4866" max="4866" width="12.7109375" style="112" customWidth="1"/>
    <col min="4867" max="4867" width="17.5703125" style="112" customWidth="1"/>
    <col min="4868" max="4869" width="11.42578125" style="112"/>
    <col min="4870" max="4870" width="15.5703125" style="112" customWidth="1"/>
    <col min="4871" max="4874" width="11.42578125" style="112"/>
    <col min="4875" max="4875" width="42" style="112" bestFit="1" customWidth="1"/>
    <col min="4876" max="4876" width="18.28515625" style="112" customWidth="1"/>
    <col min="4877" max="4877" width="11.42578125" style="112" customWidth="1"/>
    <col min="4878" max="4878" width="20.28515625" style="112" customWidth="1"/>
    <col min="4879" max="4879" width="9.42578125" style="112" customWidth="1"/>
    <col min="4880" max="4880" width="17.140625" style="112" customWidth="1"/>
    <col min="4881" max="4881" width="9.7109375" style="112" bestFit="1" customWidth="1"/>
    <col min="4882" max="4882" width="18.85546875" style="112" customWidth="1"/>
    <col min="4883" max="4883" width="11.42578125" style="112"/>
    <col min="4884" max="4884" width="17" style="112" customWidth="1"/>
    <col min="4885" max="5121" width="11.42578125" style="112"/>
    <col min="5122" max="5122" width="12.7109375" style="112" customWidth="1"/>
    <col min="5123" max="5123" width="17.5703125" style="112" customWidth="1"/>
    <col min="5124" max="5125" width="11.42578125" style="112"/>
    <col min="5126" max="5126" width="15.5703125" style="112" customWidth="1"/>
    <col min="5127" max="5130" width="11.42578125" style="112"/>
    <col min="5131" max="5131" width="42" style="112" bestFit="1" customWidth="1"/>
    <col min="5132" max="5132" width="18.28515625" style="112" customWidth="1"/>
    <col min="5133" max="5133" width="11.42578125" style="112" customWidth="1"/>
    <col min="5134" max="5134" width="20.28515625" style="112" customWidth="1"/>
    <col min="5135" max="5135" width="9.42578125" style="112" customWidth="1"/>
    <col min="5136" max="5136" width="17.140625" style="112" customWidth="1"/>
    <col min="5137" max="5137" width="9.7109375" style="112" bestFit="1" customWidth="1"/>
    <col min="5138" max="5138" width="18.85546875" style="112" customWidth="1"/>
    <col min="5139" max="5139" width="11.42578125" style="112"/>
    <col min="5140" max="5140" width="17" style="112" customWidth="1"/>
    <col min="5141" max="5377" width="11.42578125" style="112"/>
    <col min="5378" max="5378" width="12.7109375" style="112" customWidth="1"/>
    <col min="5379" max="5379" width="17.5703125" style="112" customWidth="1"/>
    <col min="5380" max="5381" width="11.42578125" style="112"/>
    <col min="5382" max="5382" width="15.5703125" style="112" customWidth="1"/>
    <col min="5383" max="5386" width="11.42578125" style="112"/>
    <col min="5387" max="5387" width="42" style="112" bestFit="1" customWidth="1"/>
    <col min="5388" max="5388" width="18.28515625" style="112" customWidth="1"/>
    <col min="5389" max="5389" width="11.42578125" style="112" customWidth="1"/>
    <col min="5390" max="5390" width="20.28515625" style="112" customWidth="1"/>
    <col min="5391" max="5391" width="9.42578125" style="112" customWidth="1"/>
    <col min="5392" max="5392" width="17.140625" style="112" customWidth="1"/>
    <col min="5393" max="5393" width="9.7109375" style="112" bestFit="1" customWidth="1"/>
    <col min="5394" max="5394" width="18.85546875" style="112" customWidth="1"/>
    <col min="5395" max="5395" width="11.42578125" style="112"/>
    <col min="5396" max="5396" width="17" style="112" customWidth="1"/>
    <col min="5397" max="5633" width="11.42578125" style="112"/>
    <col min="5634" max="5634" width="12.7109375" style="112" customWidth="1"/>
    <col min="5635" max="5635" width="17.5703125" style="112" customWidth="1"/>
    <col min="5636" max="5637" width="11.42578125" style="112"/>
    <col min="5638" max="5638" width="15.5703125" style="112" customWidth="1"/>
    <col min="5639" max="5642" width="11.42578125" style="112"/>
    <col min="5643" max="5643" width="42" style="112" bestFit="1" customWidth="1"/>
    <col min="5644" max="5644" width="18.28515625" style="112" customWidth="1"/>
    <col min="5645" max="5645" width="11.42578125" style="112" customWidth="1"/>
    <col min="5646" max="5646" width="20.28515625" style="112" customWidth="1"/>
    <col min="5647" max="5647" width="9.42578125" style="112" customWidth="1"/>
    <col min="5648" max="5648" width="17.140625" style="112" customWidth="1"/>
    <col min="5649" max="5649" width="9.7109375" style="112" bestFit="1" customWidth="1"/>
    <col min="5650" max="5650" width="18.85546875" style="112" customWidth="1"/>
    <col min="5651" max="5651" width="11.42578125" style="112"/>
    <col min="5652" max="5652" width="17" style="112" customWidth="1"/>
    <col min="5653" max="5889" width="11.42578125" style="112"/>
    <col min="5890" max="5890" width="12.7109375" style="112" customWidth="1"/>
    <col min="5891" max="5891" width="17.5703125" style="112" customWidth="1"/>
    <col min="5892" max="5893" width="11.42578125" style="112"/>
    <col min="5894" max="5894" width="15.5703125" style="112" customWidth="1"/>
    <col min="5895" max="5898" width="11.42578125" style="112"/>
    <col min="5899" max="5899" width="42" style="112" bestFit="1" customWidth="1"/>
    <col min="5900" max="5900" width="18.28515625" style="112" customWidth="1"/>
    <col min="5901" max="5901" width="11.42578125" style="112" customWidth="1"/>
    <col min="5902" max="5902" width="20.28515625" style="112" customWidth="1"/>
    <col min="5903" max="5903" width="9.42578125" style="112" customWidth="1"/>
    <col min="5904" max="5904" width="17.140625" style="112" customWidth="1"/>
    <col min="5905" max="5905" width="9.7109375" style="112" bestFit="1" customWidth="1"/>
    <col min="5906" max="5906" width="18.85546875" style="112" customWidth="1"/>
    <col min="5907" max="5907" width="11.42578125" style="112"/>
    <col min="5908" max="5908" width="17" style="112" customWidth="1"/>
    <col min="5909" max="6145" width="11.42578125" style="112"/>
    <col min="6146" max="6146" width="12.7109375" style="112" customWidth="1"/>
    <col min="6147" max="6147" width="17.5703125" style="112" customWidth="1"/>
    <col min="6148" max="6149" width="11.42578125" style="112"/>
    <col min="6150" max="6150" width="15.5703125" style="112" customWidth="1"/>
    <col min="6151" max="6154" width="11.42578125" style="112"/>
    <col min="6155" max="6155" width="42" style="112" bestFit="1" customWidth="1"/>
    <col min="6156" max="6156" width="18.28515625" style="112" customWidth="1"/>
    <col min="6157" max="6157" width="11.42578125" style="112" customWidth="1"/>
    <col min="6158" max="6158" width="20.28515625" style="112" customWidth="1"/>
    <col min="6159" max="6159" width="9.42578125" style="112" customWidth="1"/>
    <col min="6160" max="6160" width="17.140625" style="112" customWidth="1"/>
    <col min="6161" max="6161" width="9.7109375" style="112" bestFit="1" customWidth="1"/>
    <col min="6162" max="6162" width="18.85546875" style="112" customWidth="1"/>
    <col min="6163" max="6163" width="11.42578125" style="112"/>
    <col min="6164" max="6164" width="17" style="112" customWidth="1"/>
    <col min="6165" max="6401" width="11.42578125" style="112"/>
    <col min="6402" max="6402" width="12.7109375" style="112" customWidth="1"/>
    <col min="6403" max="6403" width="17.5703125" style="112" customWidth="1"/>
    <col min="6404" max="6405" width="11.42578125" style="112"/>
    <col min="6406" max="6406" width="15.5703125" style="112" customWidth="1"/>
    <col min="6407" max="6410" width="11.42578125" style="112"/>
    <col min="6411" max="6411" width="42" style="112" bestFit="1" customWidth="1"/>
    <col min="6412" max="6412" width="18.28515625" style="112" customWidth="1"/>
    <col min="6413" max="6413" width="11.42578125" style="112" customWidth="1"/>
    <col min="6414" max="6414" width="20.28515625" style="112" customWidth="1"/>
    <col min="6415" max="6415" width="9.42578125" style="112" customWidth="1"/>
    <col min="6416" max="6416" width="17.140625" style="112" customWidth="1"/>
    <col min="6417" max="6417" width="9.7109375" style="112" bestFit="1" customWidth="1"/>
    <col min="6418" max="6418" width="18.85546875" style="112" customWidth="1"/>
    <col min="6419" max="6419" width="11.42578125" style="112"/>
    <col min="6420" max="6420" width="17" style="112" customWidth="1"/>
    <col min="6421" max="6657" width="11.42578125" style="112"/>
    <col min="6658" max="6658" width="12.7109375" style="112" customWidth="1"/>
    <col min="6659" max="6659" width="17.5703125" style="112" customWidth="1"/>
    <col min="6660" max="6661" width="11.42578125" style="112"/>
    <col min="6662" max="6662" width="15.5703125" style="112" customWidth="1"/>
    <col min="6663" max="6666" width="11.42578125" style="112"/>
    <col min="6667" max="6667" width="42" style="112" bestFit="1" customWidth="1"/>
    <col min="6668" max="6668" width="18.28515625" style="112" customWidth="1"/>
    <col min="6669" max="6669" width="11.42578125" style="112" customWidth="1"/>
    <col min="6670" max="6670" width="20.28515625" style="112" customWidth="1"/>
    <col min="6671" max="6671" width="9.42578125" style="112" customWidth="1"/>
    <col min="6672" max="6672" width="17.140625" style="112" customWidth="1"/>
    <col min="6673" max="6673" width="9.7109375" style="112" bestFit="1" customWidth="1"/>
    <col min="6674" max="6674" width="18.85546875" style="112" customWidth="1"/>
    <col min="6675" max="6675" width="11.42578125" style="112"/>
    <col min="6676" max="6676" width="17" style="112" customWidth="1"/>
    <col min="6677" max="6913" width="11.42578125" style="112"/>
    <col min="6914" max="6914" width="12.7109375" style="112" customWidth="1"/>
    <col min="6915" max="6915" width="17.5703125" style="112" customWidth="1"/>
    <col min="6916" max="6917" width="11.42578125" style="112"/>
    <col min="6918" max="6918" width="15.5703125" style="112" customWidth="1"/>
    <col min="6919" max="6922" width="11.42578125" style="112"/>
    <col min="6923" max="6923" width="42" style="112" bestFit="1" customWidth="1"/>
    <col min="6924" max="6924" width="18.28515625" style="112" customWidth="1"/>
    <col min="6925" max="6925" width="11.42578125" style="112" customWidth="1"/>
    <col min="6926" max="6926" width="20.28515625" style="112" customWidth="1"/>
    <col min="6927" max="6927" width="9.42578125" style="112" customWidth="1"/>
    <col min="6928" max="6928" width="17.140625" style="112" customWidth="1"/>
    <col min="6929" max="6929" width="9.7109375" style="112" bestFit="1" customWidth="1"/>
    <col min="6930" max="6930" width="18.85546875" style="112" customWidth="1"/>
    <col min="6931" max="6931" width="11.42578125" style="112"/>
    <col min="6932" max="6932" width="17" style="112" customWidth="1"/>
    <col min="6933" max="7169" width="11.42578125" style="112"/>
    <col min="7170" max="7170" width="12.7109375" style="112" customWidth="1"/>
    <col min="7171" max="7171" width="17.5703125" style="112" customWidth="1"/>
    <col min="7172" max="7173" width="11.42578125" style="112"/>
    <col min="7174" max="7174" width="15.5703125" style="112" customWidth="1"/>
    <col min="7175" max="7178" width="11.42578125" style="112"/>
    <col min="7179" max="7179" width="42" style="112" bestFit="1" customWidth="1"/>
    <col min="7180" max="7180" width="18.28515625" style="112" customWidth="1"/>
    <col min="7181" max="7181" width="11.42578125" style="112" customWidth="1"/>
    <col min="7182" max="7182" width="20.28515625" style="112" customWidth="1"/>
    <col min="7183" max="7183" width="9.42578125" style="112" customWidth="1"/>
    <col min="7184" max="7184" width="17.140625" style="112" customWidth="1"/>
    <col min="7185" max="7185" width="9.7109375" style="112" bestFit="1" customWidth="1"/>
    <col min="7186" max="7186" width="18.85546875" style="112" customWidth="1"/>
    <col min="7187" max="7187" width="11.42578125" style="112"/>
    <col min="7188" max="7188" width="17" style="112" customWidth="1"/>
    <col min="7189" max="7425" width="11.42578125" style="112"/>
    <col min="7426" max="7426" width="12.7109375" style="112" customWidth="1"/>
    <col min="7427" max="7427" width="17.5703125" style="112" customWidth="1"/>
    <col min="7428" max="7429" width="11.42578125" style="112"/>
    <col min="7430" max="7430" width="15.5703125" style="112" customWidth="1"/>
    <col min="7431" max="7434" width="11.42578125" style="112"/>
    <col min="7435" max="7435" width="42" style="112" bestFit="1" customWidth="1"/>
    <col min="7436" max="7436" width="18.28515625" style="112" customWidth="1"/>
    <col min="7437" max="7437" width="11.42578125" style="112" customWidth="1"/>
    <col min="7438" max="7438" width="20.28515625" style="112" customWidth="1"/>
    <col min="7439" max="7439" width="9.42578125" style="112" customWidth="1"/>
    <col min="7440" max="7440" width="17.140625" style="112" customWidth="1"/>
    <col min="7441" max="7441" width="9.7109375" style="112" bestFit="1" customWidth="1"/>
    <col min="7442" max="7442" width="18.85546875" style="112" customWidth="1"/>
    <col min="7443" max="7443" width="11.42578125" style="112"/>
    <col min="7444" max="7444" width="17" style="112" customWidth="1"/>
    <col min="7445" max="7681" width="11.42578125" style="112"/>
    <col min="7682" max="7682" width="12.7109375" style="112" customWidth="1"/>
    <col min="7683" max="7683" width="17.5703125" style="112" customWidth="1"/>
    <col min="7684" max="7685" width="11.42578125" style="112"/>
    <col min="7686" max="7686" width="15.5703125" style="112" customWidth="1"/>
    <col min="7687" max="7690" width="11.42578125" style="112"/>
    <col min="7691" max="7691" width="42" style="112" bestFit="1" customWidth="1"/>
    <col min="7692" max="7692" width="18.28515625" style="112" customWidth="1"/>
    <col min="7693" max="7693" width="11.42578125" style="112" customWidth="1"/>
    <col min="7694" max="7694" width="20.28515625" style="112" customWidth="1"/>
    <col min="7695" max="7695" width="9.42578125" style="112" customWidth="1"/>
    <col min="7696" max="7696" width="17.140625" style="112" customWidth="1"/>
    <col min="7697" max="7697" width="9.7109375" style="112" bestFit="1" customWidth="1"/>
    <col min="7698" max="7698" width="18.85546875" style="112" customWidth="1"/>
    <col min="7699" max="7699" width="11.42578125" style="112"/>
    <col min="7700" max="7700" width="17" style="112" customWidth="1"/>
    <col min="7701" max="7937" width="11.42578125" style="112"/>
    <col min="7938" max="7938" width="12.7109375" style="112" customWidth="1"/>
    <col min="7939" max="7939" width="17.5703125" style="112" customWidth="1"/>
    <col min="7940" max="7941" width="11.42578125" style="112"/>
    <col min="7942" max="7942" width="15.5703125" style="112" customWidth="1"/>
    <col min="7943" max="7946" width="11.42578125" style="112"/>
    <col min="7947" max="7947" width="42" style="112" bestFit="1" customWidth="1"/>
    <col min="7948" max="7948" width="18.28515625" style="112" customWidth="1"/>
    <col min="7949" max="7949" width="11.42578125" style="112" customWidth="1"/>
    <col min="7950" max="7950" width="20.28515625" style="112" customWidth="1"/>
    <col min="7951" max="7951" width="9.42578125" style="112" customWidth="1"/>
    <col min="7952" max="7952" width="17.140625" style="112" customWidth="1"/>
    <col min="7953" max="7953" width="9.7109375" style="112" bestFit="1" customWidth="1"/>
    <col min="7954" max="7954" width="18.85546875" style="112" customWidth="1"/>
    <col min="7955" max="7955" width="11.42578125" style="112"/>
    <col min="7956" max="7956" width="17" style="112" customWidth="1"/>
    <col min="7957" max="8193" width="11.42578125" style="112"/>
    <col min="8194" max="8194" width="12.7109375" style="112" customWidth="1"/>
    <col min="8195" max="8195" width="17.5703125" style="112" customWidth="1"/>
    <col min="8196" max="8197" width="11.42578125" style="112"/>
    <col min="8198" max="8198" width="15.5703125" style="112" customWidth="1"/>
    <col min="8199" max="8202" width="11.42578125" style="112"/>
    <col min="8203" max="8203" width="42" style="112" bestFit="1" customWidth="1"/>
    <col min="8204" max="8204" width="18.28515625" style="112" customWidth="1"/>
    <col min="8205" max="8205" width="11.42578125" style="112" customWidth="1"/>
    <col min="8206" max="8206" width="20.28515625" style="112" customWidth="1"/>
    <col min="8207" max="8207" width="9.42578125" style="112" customWidth="1"/>
    <col min="8208" max="8208" width="17.140625" style="112" customWidth="1"/>
    <col min="8209" max="8209" width="9.7109375" style="112" bestFit="1" customWidth="1"/>
    <col min="8210" max="8210" width="18.85546875" style="112" customWidth="1"/>
    <col min="8211" max="8211" width="11.42578125" style="112"/>
    <col min="8212" max="8212" width="17" style="112" customWidth="1"/>
    <col min="8213" max="8449" width="11.42578125" style="112"/>
    <col min="8450" max="8450" width="12.7109375" style="112" customWidth="1"/>
    <col min="8451" max="8451" width="17.5703125" style="112" customWidth="1"/>
    <col min="8452" max="8453" width="11.42578125" style="112"/>
    <col min="8454" max="8454" width="15.5703125" style="112" customWidth="1"/>
    <col min="8455" max="8458" width="11.42578125" style="112"/>
    <col min="8459" max="8459" width="42" style="112" bestFit="1" customWidth="1"/>
    <col min="8460" max="8460" width="18.28515625" style="112" customWidth="1"/>
    <col min="8461" max="8461" width="11.42578125" style="112" customWidth="1"/>
    <col min="8462" max="8462" width="20.28515625" style="112" customWidth="1"/>
    <col min="8463" max="8463" width="9.42578125" style="112" customWidth="1"/>
    <col min="8464" max="8464" width="17.140625" style="112" customWidth="1"/>
    <col min="8465" max="8465" width="9.7109375" style="112" bestFit="1" customWidth="1"/>
    <col min="8466" max="8466" width="18.85546875" style="112" customWidth="1"/>
    <col min="8467" max="8467" width="11.42578125" style="112"/>
    <col min="8468" max="8468" width="17" style="112" customWidth="1"/>
    <col min="8469" max="8705" width="11.42578125" style="112"/>
    <col min="8706" max="8706" width="12.7109375" style="112" customWidth="1"/>
    <col min="8707" max="8707" width="17.5703125" style="112" customWidth="1"/>
    <col min="8708" max="8709" width="11.42578125" style="112"/>
    <col min="8710" max="8710" width="15.5703125" style="112" customWidth="1"/>
    <col min="8711" max="8714" width="11.42578125" style="112"/>
    <col min="8715" max="8715" width="42" style="112" bestFit="1" customWidth="1"/>
    <col min="8716" max="8716" width="18.28515625" style="112" customWidth="1"/>
    <col min="8717" max="8717" width="11.42578125" style="112" customWidth="1"/>
    <col min="8718" max="8718" width="20.28515625" style="112" customWidth="1"/>
    <col min="8719" max="8719" width="9.42578125" style="112" customWidth="1"/>
    <col min="8720" max="8720" width="17.140625" style="112" customWidth="1"/>
    <col min="8721" max="8721" width="9.7109375" style="112" bestFit="1" customWidth="1"/>
    <col min="8722" max="8722" width="18.85546875" style="112" customWidth="1"/>
    <col min="8723" max="8723" width="11.42578125" style="112"/>
    <col min="8724" max="8724" width="17" style="112" customWidth="1"/>
    <col min="8725" max="8961" width="11.42578125" style="112"/>
    <col min="8962" max="8962" width="12.7109375" style="112" customWidth="1"/>
    <col min="8963" max="8963" width="17.5703125" style="112" customWidth="1"/>
    <col min="8964" max="8965" width="11.42578125" style="112"/>
    <col min="8966" max="8966" width="15.5703125" style="112" customWidth="1"/>
    <col min="8967" max="8970" width="11.42578125" style="112"/>
    <col min="8971" max="8971" width="42" style="112" bestFit="1" customWidth="1"/>
    <col min="8972" max="8972" width="18.28515625" style="112" customWidth="1"/>
    <col min="8973" max="8973" width="11.42578125" style="112" customWidth="1"/>
    <col min="8974" max="8974" width="20.28515625" style="112" customWidth="1"/>
    <col min="8975" max="8975" width="9.42578125" style="112" customWidth="1"/>
    <col min="8976" max="8976" width="17.140625" style="112" customWidth="1"/>
    <col min="8977" max="8977" width="9.7109375" style="112" bestFit="1" customWidth="1"/>
    <col min="8978" max="8978" width="18.85546875" style="112" customWidth="1"/>
    <col min="8979" max="8979" width="11.42578125" style="112"/>
    <col min="8980" max="8980" width="17" style="112" customWidth="1"/>
    <col min="8981" max="9217" width="11.42578125" style="112"/>
    <col min="9218" max="9218" width="12.7109375" style="112" customWidth="1"/>
    <col min="9219" max="9219" width="17.5703125" style="112" customWidth="1"/>
    <col min="9220" max="9221" width="11.42578125" style="112"/>
    <col min="9222" max="9222" width="15.5703125" style="112" customWidth="1"/>
    <col min="9223" max="9226" width="11.42578125" style="112"/>
    <col min="9227" max="9227" width="42" style="112" bestFit="1" customWidth="1"/>
    <col min="9228" max="9228" width="18.28515625" style="112" customWidth="1"/>
    <col min="9229" max="9229" width="11.42578125" style="112" customWidth="1"/>
    <col min="9230" max="9230" width="20.28515625" style="112" customWidth="1"/>
    <col min="9231" max="9231" width="9.42578125" style="112" customWidth="1"/>
    <col min="9232" max="9232" width="17.140625" style="112" customWidth="1"/>
    <col min="9233" max="9233" width="9.7109375" style="112" bestFit="1" customWidth="1"/>
    <col min="9234" max="9234" width="18.85546875" style="112" customWidth="1"/>
    <col min="9235" max="9235" width="11.42578125" style="112"/>
    <col min="9236" max="9236" width="17" style="112" customWidth="1"/>
    <col min="9237" max="9473" width="11.42578125" style="112"/>
    <col min="9474" max="9474" width="12.7109375" style="112" customWidth="1"/>
    <col min="9475" max="9475" width="17.5703125" style="112" customWidth="1"/>
    <col min="9476" max="9477" width="11.42578125" style="112"/>
    <col min="9478" max="9478" width="15.5703125" style="112" customWidth="1"/>
    <col min="9479" max="9482" width="11.42578125" style="112"/>
    <col min="9483" max="9483" width="42" style="112" bestFit="1" customWidth="1"/>
    <col min="9484" max="9484" width="18.28515625" style="112" customWidth="1"/>
    <col min="9485" max="9485" width="11.42578125" style="112" customWidth="1"/>
    <col min="9486" max="9486" width="20.28515625" style="112" customWidth="1"/>
    <col min="9487" max="9487" width="9.42578125" style="112" customWidth="1"/>
    <col min="9488" max="9488" width="17.140625" style="112" customWidth="1"/>
    <col min="9489" max="9489" width="9.7109375" style="112" bestFit="1" customWidth="1"/>
    <col min="9490" max="9490" width="18.85546875" style="112" customWidth="1"/>
    <col min="9491" max="9491" width="11.42578125" style="112"/>
    <col min="9492" max="9492" width="17" style="112" customWidth="1"/>
    <col min="9493" max="9729" width="11.42578125" style="112"/>
    <col min="9730" max="9730" width="12.7109375" style="112" customWidth="1"/>
    <col min="9731" max="9731" width="17.5703125" style="112" customWidth="1"/>
    <col min="9732" max="9733" width="11.42578125" style="112"/>
    <col min="9734" max="9734" width="15.5703125" style="112" customWidth="1"/>
    <col min="9735" max="9738" width="11.42578125" style="112"/>
    <col min="9739" max="9739" width="42" style="112" bestFit="1" customWidth="1"/>
    <col min="9740" max="9740" width="18.28515625" style="112" customWidth="1"/>
    <col min="9741" max="9741" width="11.42578125" style="112" customWidth="1"/>
    <col min="9742" max="9742" width="20.28515625" style="112" customWidth="1"/>
    <col min="9743" max="9743" width="9.42578125" style="112" customWidth="1"/>
    <col min="9744" max="9744" width="17.140625" style="112" customWidth="1"/>
    <col min="9745" max="9745" width="9.7109375" style="112" bestFit="1" customWidth="1"/>
    <col min="9746" max="9746" width="18.85546875" style="112" customWidth="1"/>
    <col min="9747" max="9747" width="11.42578125" style="112"/>
    <col min="9748" max="9748" width="17" style="112" customWidth="1"/>
    <col min="9749" max="9985" width="11.42578125" style="112"/>
    <col min="9986" max="9986" width="12.7109375" style="112" customWidth="1"/>
    <col min="9987" max="9987" width="17.5703125" style="112" customWidth="1"/>
    <col min="9988" max="9989" width="11.42578125" style="112"/>
    <col min="9990" max="9990" width="15.5703125" style="112" customWidth="1"/>
    <col min="9991" max="9994" width="11.42578125" style="112"/>
    <col min="9995" max="9995" width="42" style="112" bestFit="1" customWidth="1"/>
    <col min="9996" max="9996" width="18.28515625" style="112" customWidth="1"/>
    <col min="9997" max="9997" width="11.42578125" style="112" customWidth="1"/>
    <col min="9998" max="9998" width="20.28515625" style="112" customWidth="1"/>
    <col min="9999" max="9999" width="9.42578125" style="112" customWidth="1"/>
    <col min="10000" max="10000" width="17.140625" style="112" customWidth="1"/>
    <col min="10001" max="10001" width="9.7109375" style="112" bestFit="1" customWidth="1"/>
    <col min="10002" max="10002" width="18.85546875" style="112" customWidth="1"/>
    <col min="10003" max="10003" width="11.42578125" style="112"/>
    <col min="10004" max="10004" width="17" style="112" customWidth="1"/>
    <col min="10005" max="10241" width="11.42578125" style="112"/>
    <col min="10242" max="10242" width="12.7109375" style="112" customWidth="1"/>
    <col min="10243" max="10243" width="17.5703125" style="112" customWidth="1"/>
    <col min="10244" max="10245" width="11.42578125" style="112"/>
    <col min="10246" max="10246" width="15.5703125" style="112" customWidth="1"/>
    <col min="10247" max="10250" width="11.42578125" style="112"/>
    <col min="10251" max="10251" width="42" style="112" bestFit="1" customWidth="1"/>
    <col min="10252" max="10252" width="18.28515625" style="112" customWidth="1"/>
    <col min="10253" max="10253" width="11.42578125" style="112" customWidth="1"/>
    <col min="10254" max="10254" width="20.28515625" style="112" customWidth="1"/>
    <col min="10255" max="10255" width="9.42578125" style="112" customWidth="1"/>
    <col min="10256" max="10256" width="17.140625" style="112" customWidth="1"/>
    <col min="10257" max="10257" width="9.7109375" style="112" bestFit="1" customWidth="1"/>
    <col min="10258" max="10258" width="18.85546875" style="112" customWidth="1"/>
    <col min="10259" max="10259" width="11.42578125" style="112"/>
    <col min="10260" max="10260" width="17" style="112" customWidth="1"/>
    <col min="10261" max="10497" width="11.42578125" style="112"/>
    <col min="10498" max="10498" width="12.7109375" style="112" customWidth="1"/>
    <col min="10499" max="10499" width="17.5703125" style="112" customWidth="1"/>
    <col min="10500" max="10501" width="11.42578125" style="112"/>
    <col min="10502" max="10502" width="15.5703125" style="112" customWidth="1"/>
    <col min="10503" max="10506" width="11.42578125" style="112"/>
    <col min="10507" max="10507" width="42" style="112" bestFit="1" customWidth="1"/>
    <col min="10508" max="10508" width="18.28515625" style="112" customWidth="1"/>
    <col min="10509" max="10509" width="11.42578125" style="112" customWidth="1"/>
    <col min="10510" max="10510" width="20.28515625" style="112" customWidth="1"/>
    <col min="10511" max="10511" width="9.42578125" style="112" customWidth="1"/>
    <col min="10512" max="10512" width="17.140625" style="112" customWidth="1"/>
    <col min="10513" max="10513" width="9.7109375" style="112" bestFit="1" customWidth="1"/>
    <col min="10514" max="10514" width="18.85546875" style="112" customWidth="1"/>
    <col min="10515" max="10515" width="11.42578125" style="112"/>
    <col min="10516" max="10516" width="17" style="112" customWidth="1"/>
    <col min="10517" max="10753" width="11.42578125" style="112"/>
    <col min="10754" max="10754" width="12.7109375" style="112" customWidth="1"/>
    <col min="10755" max="10755" width="17.5703125" style="112" customWidth="1"/>
    <col min="10756" max="10757" width="11.42578125" style="112"/>
    <col min="10758" max="10758" width="15.5703125" style="112" customWidth="1"/>
    <col min="10759" max="10762" width="11.42578125" style="112"/>
    <col min="10763" max="10763" width="42" style="112" bestFit="1" customWidth="1"/>
    <col min="10764" max="10764" width="18.28515625" style="112" customWidth="1"/>
    <col min="10765" max="10765" width="11.42578125" style="112" customWidth="1"/>
    <col min="10766" max="10766" width="20.28515625" style="112" customWidth="1"/>
    <col min="10767" max="10767" width="9.42578125" style="112" customWidth="1"/>
    <col min="10768" max="10768" width="17.140625" style="112" customWidth="1"/>
    <col min="10769" max="10769" width="9.7109375" style="112" bestFit="1" customWidth="1"/>
    <col min="10770" max="10770" width="18.85546875" style="112" customWidth="1"/>
    <col min="10771" max="10771" width="11.42578125" style="112"/>
    <col min="10772" max="10772" width="17" style="112" customWidth="1"/>
    <col min="10773" max="11009" width="11.42578125" style="112"/>
    <col min="11010" max="11010" width="12.7109375" style="112" customWidth="1"/>
    <col min="11011" max="11011" width="17.5703125" style="112" customWidth="1"/>
    <col min="11012" max="11013" width="11.42578125" style="112"/>
    <col min="11014" max="11014" width="15.5703125" style="112" customWidth="1"/>
    <col min="11015" max="11018" width="11.42578125" style="112"/>
    <col min="11019" max="11019" width="42" style="112" bestFit="1" customWidth="1"/>
    <col min="11020" max="11020" width="18.28515625" style="112" customWidth="1"/>
    <col min="11021" max="11021" width="11.42578125" style="112" customWidth="1"/>
    <col min="11022" max="11022" width="20.28515625" style="112" customWidth="1"/>
    <col min="11023" max="11023" width="9.42578125" style="112" customWidth="1"/>
    <col min="11024" max="11024" width="17.140625" style="112" customWidth="1"/>
    <col min="11025" max="11025" width="9.7109375" style="112" bestFit="1" customWidth="1"/>
    <col min="11026" max="11026" width="18.85546875" style="112" customWidth="1"/>
    <col min="11027" max="11027" width="11.42578125" style="112"/>
    <col min="11028" max="11028" width="17" style="112" customWidth="1"/>
    <col min="11029" max="11265" width="11.42578125" style="112"/>
    <col min="11266" max="11266" width="12.7109375" style="112" customWidth="1"/>
    <col min="11267" max="11267" width="17.5703125" style="112" customWidth="1"/>
    <col min="11268" max="11269" width="11.42578125" style="112"/>
    <col min="11270" max="11270" width="15.5703125" style="112" customWidth="1"/>
    <col min="11271" max="11274" width="11.42578125" style="112"/>
    <col min="11275" max="11275" width="42" style="112" bestFit="1" customWidth="1"/>
    <col min="11276" max="11276" width="18.28515625" style="112" customWidth="1"/>
    <col min="11277" max="11277" width="11.42578125" style="112" customWidth="1"/>
    <col min="11278" max="11278" width="20.28515625" style="112" customWidth="1"/>
    <col min="11279" max="11279" width="9.42578125" style="112" customWidth="1"/>
    <col min="11280" max="11280" width="17.140625" style="112" customWidth="1"/>
    <col min="11281" max="11281" width="9.7109375" style="112" bestFit="1" customWidth="1"/>
    <col min="11282" max="11282" width="18.85546875" style="112" customWidth="1"/>
    <col min="11283" max="11283" width="11.42578125" style="112"/>
    <col min="11284" max="11284" width="17" style="112" customWidth="1"/>
    <col min="11285" max="11521" width="11.42578125" style="112"/>
    <col min="11522" max="11522" width="12.7109375" style="112" customWidth="1"/>
    <col min="11523" max="11523" width="17.5703125" style="112" customWidth="1"/>
    <col min="11524" max="11525" width="11.42578125" style="112"/>
    <col min="11526" max="11526" width="15.5703125" style="112" customWidth="1"/>
    <col min="11527" max="11530" width="11.42578125" style="112"/>
    <col min="11531" max="11531" width="42" style="112" bestFit="1" customWidth="1"/>
    <col min="11532" max="11532" width="18.28515625" style="112" customWidth="1"/>
    <col min="11533" max="11533" width="11.42578125" style="112" customWidth="1"/>
    <col min="11534" max="11534" width="20.28515625" style="112" customWidth="1"/>
    <col min="11535" max="11535" width="9.42578125" style="112" customWidth="1"/>
    <col min="11536" max="11536" width="17.140625" style="112" customWidth="1"/>
    <col min="11537" max="11537" width="9.7109375" style="112" bestFit="1" customWidth="1"/>
    <col min="11538" max="11538" width="18.85546875" style="112" customWidth="1"/>
    <col min="11539" max="11539" width="11.42578125" style="112"/>
    <col min="11540" max="11540" width="17" style="112" customWidth="1"/>
    <col min="11541" max="11777" width="11.42578125" style="112"/>
    <col min="11778" max="11778" width="12.7109375" style="112" customWidth="1"/>
    <col min="11779" max="11779" width="17.5703125" style="112" customWidth="1"/>
    <col min="11780" max="11781" width="11.42578125" style="112"/>
    <col min="11782" max="11782" width="15.5703125" style="112" customWidth="1"/>
    <col min="11783" max="11786" width="11.42578125" style="112"/>
    <col min="11787" max="11787" width="42" style="112" bestFit="1" customWidth="1"/>
    <col min="11788" max="11788" width="18.28515625" style="112" customWidth="1"/>
    <col min="11789" max="11789" width="11.42578125" style="112" customWidth="1"/>
    <col min="11790" max="11790" width="20.28515625" style="112" customWidth="1"/>
    <col min="11791" max="11791" width="9.42578125" style="112" customWidth="1"/>
    <col min="11792" max="11792" width="17.140625" style="112" customWidth="1"/>
    <col min="11793" max="11793" width="9.7109375" style="112" bestFit="1" customWidth="1"/>
    <col min="11794" max="11794" width="18.85546875" style="112" customWidth="1"/>
    <col min="11795" max="11795" width="11.42578125" style="112"/>
    <col min="11796" max="11796" width="17" style="112" customWidth="1"/>
    <col min="11797" max="12033" width="11.42578125" style="112"/>
    <col min="12034" max="12034" width="12.7109375" style="112" customWidth="1"/>
    <col min="12035" max="12035" width="17.5703125" style="112" customWidth="1"/>
    <col min="12036" max="12037" width="11.42578125" style="112"/>
    <col min="12038" max="12038" width="15.5703125" style="112" customWidth="1"/>
    <col min="12039" max="12042" width="11.42578125" style="112"/>
    <col min="12043" max="12043" width="42" style="112" bestFit="1" customWidth="1"/>
    <col min="12044" max="12044" width="18.28515625" style="112" customWidth="1"/>
    <col min="12045" max="12045" width="11.42578125" style="112" customWidth="1"/>
    <col min="12046" max="12046" width="20.28515625" style="112" customWidth="1"/>
    <col min="12047" max="12047" width="9.42578125" style="112" customWidth="1"/>
    <col min="12048" max="12048" width="17.140625" style="112" customWidth="1"/>
    <col min="12049" max="12049" width="9.7109375" style="112" bestFit="1" customWidth="1"/>
    <col min="12050" max="12050" width="18.85546875" style="112" customWidth="1"/>
    <col min="12051" max="12051" width="11.42578125" style="112"/>
    <col min="12052" max="12052" width="17" style="112" customWidth="1"/>
    <col min="12053" max="12289" width="11.42578125" style="112"/>
    <col min="12290" max="12290" width="12.7109375" style="112" customWidth="1"/>
    <col min="12291" max="12291" width="17.5703125" style="112" customWidth="1"/>
    <col min="12292" max="12293" width="11.42578125" style="112"/>
    <col min="12294" max="12294" width="15.5703125" style="112" customWidth="1"/>
    <col min="12295" max="12298" width="11.42578125" style="112"/>
    <col min="12299" max="12299" width="42" style="112" bestFit="1" customWidth="1"/>
    <col min="12300" max="12300" width="18.28515625" style="112" customWidth="1"/>
    <col min="12301" max="12301" width="11.42578125" style="112" customWidth="1"/>
    <col min="12302" max="12302" width="20.28515625" style="112" customWidth="1"/>
    <col min="12303" max="12303" width="9.42578125" style="112" customWidth="1"/>
    <col min="12304" max="12304" width="17.140625" style="112" customWidth="1"/>
    <col min="12305" max="12305" width="9.7109375" style="112" bestFit="1" customWidth="1"/>
    <col min="12306" max="12306" width="18.85546875" style="112" customWidth="1"/>
    <col min="12307" max="12307" width="11.42578125" style="112"/>
    <col min="12308" max="12308" width="17" style="112" customWidth="1"/>
    <col min="12309" max="12545" width="11.42578125" style="112"/>
    <col min="12546" max="12546" width="12.7109375" style="112" customWidth="1"/>
    <col min="12547" max="12547" width="17.5703125" style="112" customWidth="1"/>
    <col min="12548" max="12549" width="11.42578125" style="112"/>
    <col min="12550" max="12550" width="15.5703125" style="112" customWidth="1"/>
    <col min="12551" max="12554" width="11.42578125" style="112"/>
    <col min="12555" max="12555" width="42" style="112" bestFit="1" customWidth="1"/>
    <col min="12556" max="12556" width="18.28515625" style="112" customWidth="1"/>
    <col min="12557" max="12557" width="11.42578125" style="112" customWidth="1"/>
    <col min="12558" max="12558" width="20.28515625" style="112" customWidth="1"/>
    <col min="12559" max="12559" width="9.42578125" style="112" customWidth="1"/>
    <col min="12560" max="12560" width="17.140625" style="112" customWidth="1"/>
    <col min="12561" max="12561" width="9.7109375" style="112" bestFit="1" customWidth="1"/>
    <col min="12562" max="12562" width="18.85546875" style="112" customWidth="1"/>
    <col min="12563" max="12563" width="11.42578125" style="112"/>
    <col min="12564" max="12564" width="17" style="112" customWidth="1"/>
    <col min="12565" max="12801" width="11.42578125" style="112"/>
    <col min="12802" max="12802" width="12.7109375" style="112" customWidth="1"/>
    <col min="12803" max="12803" width="17.5703125" style="112" customWidth="1"/>
    <col min="12804" max="12805" width="11.42578125" style="112"/>
    <col min="12806" max="12806" width="15.5703125" style="112" customWidth="1"/>
    <col min="12807" max="12810" width="11.42578125" style="112"/>
    <col min="12811" max="12811" width="42" style="112" bestFit="1" customWidth="1"/>
    <col min="12812" max="12812" width="18.28515625" style="112" customWidth="1"/>
    <col min="12813" max="12813" width="11.42578125" style="112" customWidth="1"/>
    <col min="12814" max="12814" width="20.28515625" style="112" customWidth="1"/>
    <col min="12815" max="12815" width="9.42578125" style="112" customWidth="1"/>
    <col min="12816" max="12816" width="17.140625" style="112" customWidth="1"/>
    <col min="12817" max="12817" width="9.7109375" style="112" bestFit="1" customWidth="1"/>
    <col min="12818" max="12818" width="18.85546875" style="112" customWidth="1"/>
    <col min="12819" max="12819" width="11.42578125" style="112"/>
    <col min="12820" max="12820" width="17" style="112" customWidth="1"/>
    <col min="12821" max="13057" width="11.42578125" style="112"/>
    <col min="13058" max="13058" width="12.7109375" style="112" customWidth="1"/>
    <col min="13059" max="13059" width="17.5703125" style="112" customWidth="1"/>
    <col min="13060" max="13061" width="11.42578125" style="112"/>
    <col min="13062" max="13062" width="15.5703125" style="112" customWidth="1"/>
    <col min="13063" max="13066" width="11.42578125" style="112"/>
    <col min="13067" max="13067" width="42" style="112" bestFit="1" customWidth="1"/>
    <col min="13068" max="13068" width="18.28515625" style="112" customWidth="1"/>
    <col min="13069" max="13069" width="11.42578125" style="112" customWidth="1"/>
    <col min="13070" max="13070" width="20.28515625" style="112" customWidth="1"/>
    <col min="13071" max="13071" width="9.42578125" style="112" customWidth="1"/>
    <col min="13072" max="13072" width="17.140625" style="112" customWidth="1"/>
    <col min="13073" max="13073" width="9.7109375" style="112" bestFit="1" customWidth="1"/>
    <col min="13074" max="13074" width="18.85546875" style="112" customWidth="1"/>
    <col min="13075" max="13075" width="11.42578125" style="112"/>
    <col min="13076" max="13076" width="17" style="112" customWidth="1"/>
    <col min="13077" max="13313" width="11.42578125" style="112"/>
    <col min="13314" max="13314" width="12.7109375" style="112" customWidth="1"/>
    <col min="13315" max="13315" width="17.5703125" style="112" customWidth="1"/>
    <col min="13316" max="13317" width="11.42578125" style="112"/>
    <col min="13318" max="13318" width="15.5703125" style="112" customWidth="1"/>
    <col min="13319" max="13322" width="11.42578125" style="112"/>
    <col min="13323" max="13323" width="42" style="112" bestFit="1" customWidth="1"/>
    <col min="13324" max="13324" width="18.28515625" style="112" customWidth="1"/>
    <col min="13325" max="13325" width="11.42578125" style="112" customWidth="1"/>
    <col min="13326" max="13326" width="20.28515625" style="112" customWidth="1"/>
    <col min="13327" max="13327" width="9.42578125" style="112" customWidth="1"/>
    <col min="13328" max="13328" width="17.140625" style="112" customWidth="1"/>
    <col min="13329" max="13329" width="9.7109375" style="112" bestFit="1" customWidth="1"/>
    <col min="13330" max="13330" width="18.85546875" style="112" customWidth="1"/>
    <col min="13331" max="13331" width="11.42578125" style="112"/>
    <col min="13332" max="13332" width="17" style="112" customWidth="1"/>
    <col min="13333" max="13569" width="11.42578125" style="112"/>
    <col min="13570" max="13570" width="12.7109375" style="112" customWidth="1"/>
    <col min="13571" max="13571" width="17.5703125" style="112" customWidth="1"/>
    <col min="13572" max="13573" width="11.42578125" style="112"/>
    <col min="13574" max="13574" width="15.5703125" style="112" customWidth="1"/>
    <col min="13575" max="13578" width="11.42578125" style="112"/>
    <col min="13579" max="13579" width="42" style="112" bestFit="1" customWidth="1"/>
    <col min="13580" max="13580" width="18.28515625" style="112" customWidth="1"/>
    <col min="13581" max="13581" width="11.42578125" style="112" customWidth="1"/>
    <col min="13582" max="13582" width="20.28515625" style="112" customWidth="1"/>
    <col min="13583" max="13583" width="9.42578125" style="112" customWidth="1"/>
    <col min="13584" max="13584" width="17.140625" style="112" customWidth="1"/>
    <col min="13585" max="13585" width="9.7109375" style="112" bestFit="1" customWidth="1"/>
    <col min="13586" max="13586" width="18.85546875" style="112" customWidth="1"/>
    <col min="13587" max="13587" width="11.42578125" style="112"/>
    <col min="13588" max="13588" width="17" style="112" customWidth="1"/>
    <col min="13589" max="13825" width="11.42578125" style="112"/>
    <col min="13826" max="13826" width="12.7109375" style="112" customWidth="1"/>
    <col min="13827" max="13827" width="17.5703125" style="112" customWidth="1"/>
    <col min="13828" max="13829" width="11.42578125" style="112"/>
    <col min="13830" max="13830" width="15.5703125" style="112" customWidth="1"/>
    <col min="13831" max="13834" width="11.42578125" style="112"/>
    <col min="13835" max="13835" width="42" style="112" bestFit="1" customWidth="1"/>
    <col min="13836" max="13836" width="18.28515625" style="112" customWidth="1"/>
    <col min="13837" max="13837" width="11.42578125" style="112" customWidth="1"/>
    <col min="13838" max="13838" width="20.28515625" style="112" customWidth="1"/>
    <col min="13839" max="13839" width="9.42578125" style="112" customWidth="1"/>
    <col min="13840" max="13840" width="17.140625" style="112" customWidth="1"/>
    <col min="13841" max="13841" width="9.7109375" style="112" bestFit="1" customWidth="1"/>
    <col min="13842" max="13842" width="18.85546875" style="112" customWidth="1"/>
    <col min="13843" max="13843" width="11.42578125" style="112"/>
    <col min="13844" max="13844" width="17" style="112" customWidth="1"/>
    <col min="13845" max="14081" width="11.42578125" style="112"/>
    <col min="14082" max="14082" width="12.7109375" style="112" customWidth="1"/>
    <col min="14083" max="14083" width="17.5703125" style="112" customWidth="1"/>
    <col min="14084" max="14085" width="11.42578125" style="112"/>
    <col min="14086" max="14086" width="15.5703125" style="112" customWidth="1"/>
    <col min="14087" max="14090" width="11.42578125" style="112"/>
    <col min="14091" max="14091" width="42" style="112" bestFit="1" customWidth="1"/>
    <col min="14092" max="14092" width="18.28515625" style="112" customWidth="1"/>
    <col min="14093" max="14093" width="11.42578125" style="112" customWidth="1"/>
    <col min="14094" max="14094" width="20.28515625" style="112" customWidth="1"/>
    <col min="14095" max="14095" width="9.42578125" style="112" customWidth="1"/>
    <col min="14096" max="14096" width="17.140625" style="112" customWidth="1"/>
    <col min="14097" max="14097" width="9.7109375" style="112" bestFit="1" customWidth="1"/>
    <col min="14098" max="14098" width="18.85546875" style="112" customWidth="1"/>
    <col min="14099" max="14099" width="11.42578125" style="112"/>
    <col min="14100" max="14100" width="17" style="112" customWidth="1"/>
    <col min="14101" max="14337" width="11.42578125" style="112"/>
    <col min="14338" max="14338" width="12.7109375" style="112" customWidth="1"/>
    <col min="14339" max="14339" width="17.5703125" style="112" customWidth="1"/>
    <col min="14340" max="14341" width="11.42578125" style="112"/>
    <col min="14342" max="14342" width="15.5703125" style="112" customWidth="1"/>
    <col min="14343" max="14346" width="11.42578125" style="112"/>
    <col min="14347" max="14347" width="42" style="112" bestFit="1" customWidth="1"/>
    <col min="14348" max="14348" width="18.28515625" style="112" customWidth="1"/>
    <col min="14349" max="14349" width="11.42578125" style="112" customWidth="1"/>
    <col min="14350" max="14350" width="20.28515625" style="112" customWidth="1"/>
    <col min="14351" max="14351" width="9.42578125" style="112" customWidth="1"/>
    <col min="14352" max="14352" width="17.140625" style="112" customWidth="1"/>
    <col min="14353" max="14353" width="9.7109375" style="112" bestFit="1" customWidth="1"/>
    <col min="14354" max="14354" width="18.85546875" style="112" customWidth="1"/>
    <col min="14355" max="14355" width="11.42578125" style="112"/>
    <col min="14356" max="14356" width="17" style="112" customWidth="1"/>
    <col min="14357" max="14593" width="11.42578125" style="112"/>
    <col min="14594" max="14594" width="12.7109375" style="112" customWidth="1"/>
    <col min="14595" max="14595" width="17.5703125" style="112" customWidth="1"/>
    <col min="14596" max="14597" width="11.42578125" style="112"/>
    <col min="14598" max="14598" width="15.5703125" style="112" customWidth="1"/>
    <col min="14599" max="14602" width="11.42578125" style="112"/>
    <col min="14603" max="14603" width="42" style="112" bestFit="1" customWidth="1"/>
    <col min="14604" max="14604" width="18.28515625" style="112" customWidth="1"/>
    <col min="14605" max="14605" width="11.42578125" style="112" customWidth="1"/>
    <col min="14606" max="14606" width="20.28515625" style="112" customWidth="1"/>
    <col min="14607" max="14607" width="9.42578125" style="112" customWidth="1"/>
    <col min="14608" max="14608" width="17.140625" style="112" customWidth="1"/>
    <col min="14609" max="14609" width="9.7109375" style="112" bestFit="1" customWidth="1"/>
    <col min="14610" max="14610" width="18.85546875" style="112" customWidth="1"/>
    <col min="14611" max="14611" width="11.42578125" style="112"/>
    <col min="14612" max="14612" width="17" style="112" customWidth="1"/>
    <col min="14613" max="14849" width="11.42578125" style="112"/>
    <col min="14850" max="14850" width="12.7109375" style="112" customWidth="1"/>
    <col min="14851" max="14851" width="17.5703125" style="112" customWidth="1"/>
    <col min="14852" max="14853" width="11.42578125" style="112"/>
    <col min="14854" max="14854" width="15.5703125" style="112" customWidth="1"/>
    <col min="14855" max="14858" width="11.42578125" style="112"/>
    <col min="14859" max="14859" width="42" style="112" bestFit="1" customWidth="1"/>
    <col min="14860" max="14860" width="18.28515625" style="112" customWidth="1"/>
    <col min="14861" max="14861" width="11.42578125" style="112" customWidth="1"/>
    <col min="14862" max="14862" width="20.28515625" style="112" customWidth="1"/>
    <col min="14863" max="14863" width="9.42578125" style="112" customWidth="1"/>
    <col min="14864" max="14864" width="17.140625" style="112" customWidth="1"/>
    <col min="14865" max="14865" width="9.7109375" style="112" bestFit="1" customWidth="1"/>
    <col min="14866" max="14866" width="18.85546875" style="112" customWidth="1"/>
    <col min="14867" max="14867" width="11.42578125" style="112"/>
    <col min="14868" max="14868" width="17" style="112" customWidth="1"/>
    <col min="14869" max="15105" width="11.42578125" style="112"/>
    <col min="15106" max="15106" width="12.7109375" style="112" customWidth="1"/>
    <col min="15107" max="15107" width="17.5703125" style="112" customWidth="1"/>
    <col min="15108" max="15109" width="11.42578125" style="112"/>
    <col min="15110" max="15110" width="15.5703125" style="112" customWidth="1"/>
    <col min="15111" max="15114" width="11.42578125" style="112"/>
    <col min="15115" max="15115" width="42" style="112" bestFit="1" customWidth="1"/>
    <col min="15116" max="15116" width="18.28515625" style="112" customWidth="1"/>
    <col min="15117" max="15117" width="11.42578125" style="112" customWidth="1"/>
    <col min="15118" max="15118" width="20.28515625" style="112" customWidth="1"/>
    <col min="15119" max="15119" width="9.42578125" style="112" customWidth="1"/>
    <col min="15120" max="15120" width="17.140625" style="112" customWidth="1"/>
    <col min="15121" max="15121" width="9.7109375" style="112" bestFit="1" customWidth="1"/>
    <col min="15122" max="15122" width="18.85546875" style="112" customWidth="1"/>
    <col min="15123" max="15123" width="11.42578125" style="112"/>
    <col min="15124" max="15124" width="17" style="112" customWidth="1"/>
    <col min="15125" max="15361" width="11.42578125" style="112"/>
    <col min="15362" max="15362" width="12.7109375" style="112" customWidth="1"/>
    <col min="15363" max="15363" width="17.5703125" style="112" customWidth="1"/>
    <col min="15364" max="15365" width="11.42578125" style="112"/>
    <col min="15366" max="15366" width="15.5703125" style="112" customWidth="1"/>
    <col min="15367" max="15370" width="11.42578125" style="112"/>
    <col min="15371" max="15371" width="42" style="112" bestFit="1" customWidth="1"/>
    <col min="15372" max="15372" width="18.28515625" style="112" customWidth="1"/>
    <col min="15373" max="15373" width="11.42578125" style="112" customWidth="1"/>
    <col min="15374" max="15374" width="20.28515625" style="112" customWidth="1"/>
    <col min="15375" max="15375" width="9.42578125" style="112" customWidth="1"/>
    <col min="15376" max="15376" width="17.140625" style="112" customWidth="1"/>
    <col min="15377" max="15377" width="9.7109375" style="112" bestFit="1" customWidth="1"/>
    <col min="15378" max="15378" width="18.85546875" style="112" customWidth="1"/>
    <col min="15379" max="15379" width="11.42578125" style="112"/>
    <col min="15380" max="15380" width="17" style="112" customWidth="1"/>
    <col min="15381" max="15617" width="11.42578125" style="112"/>
    <col min="15618" max="15618" width="12.7109375" style="112" customWidth="1"/>
    <col min="15619" max="15619" width="17.5703125" style="112" customWidth="1"/>
    <col min="15620" max="15621" width="11.42578125" style="112"/>
    <col min="15622" max="15622" width="15.5703125" style="112" customWidth="1"/>
    <col min="15623" max="15626" width="11.42578125" style="112"/>
    <col min="15627" max="15627" width="42" style="112" bestFit="1" customWidth="1"/>
    <col min="15628" max="15628" width="18.28515625" style="112" customWidth="1"/>
    <col min="15629" max="15629" width="11.42578125" style="112" customWidth="1"/>
    <col min="15630" max="15630" width="20.28515625" style="112" customWidth="1"/>
    <col min="15631" max="15631" width="9.42578125" style="112" customWidth="1"/>
    <col min="15632" max="15632" width="17.140625" style="112" customWidth="1"/>
    <col min="15633" max="15633" width="9.7109375" style="112" bestFit="1" customWidth="1"/>
    <col min="15634" max="15634" width="18.85546875" style="112" customWidth="1"/>
    <col min="15635" max="15635" width="11.42578125" style="112"/>
    <col min="15636" max="15636" width="17" style="112" customWidth="1"/>
    <col min="15637" max="15873" width="11.42578125" style="112"/>
    <col min="15874" max="15874" width="12.7109375" style="112" customWidth="1"/>
    <col min="15875" max="15875" width="17.5703125" style="112" customWidth="1"/>
    <col min="15876" max="15877" width="11.42578125" style="112"/>
    <col min="15878" max="15878" width="15.5703125" style="112" customWidth="1"/>
    <col min="15879" max="15882" width="11.42578125" style="112"/>
    <col min="15883" max="15883" width="42" style="112" bestFit="1" customWidth="1"/>
    <col min="15884" max="15884" width="18.28515625" style="112" customWidth="1"/>
    <col min="15885" max="15885" width="11.42578125" style="112" customWidth="1"/>
    <col min="15886" max="15886" width="20.28515625" style="112" customWidth="1"/>
    <col min="15887" max="15887" width="9.42578125" style="112" customWidth="1"/>
    <col min="15888" max="15888" width="17.140625" style="112" customWidth="1"/>
    <col min="15889" max="15889" width="9.7109375" style="112" bestFit="1" customWidth="1"/>
    <col min="15890" max="15890" width="18.85546875" style="112" customWidth="1"/>
    <col min="15891" max="15891" width="11.42578125" style="112"/>
    <col min="15892" max="15892" width="17" style="112" customWidth="1"/>
    <col min="15893" max="16129" width="11.42578125" style="112"/>
    <col min="16130" max="16130" width="12.7109375" style="112" customWidth="1"/>
    <col min="16131" max="16131" width="17.5703125" style="112" customWidth="1"/>
    <col min="16132" max="16133" width="11.42578125" style="112"/>
    <col min="16134" max="16134" width="15.5703125" style="112" customWidth="1"/>
    <col min="16135" max="16138" width="11.42578125" style="112"/>
    <col min="16139" max="16139" width="42" style="112" bestFit="1" customWidth="1"/>
    <col min="16140" max="16140" width="18.28515625" style="112" customWidth="1"/>
    <col min="16141" max="16141" width="11.42578125" style="112" customWidth="1"/>
    <col min="16142" max="16142" width="20.28515625" style="112" customWidth="1"/>
    <col min="16143" max="16143" width="9.42578125" style="112" customWidth="1"/>
    <col min="16144" max="16144" width="17.140625" style="112" customWidth="1"/>
    <col min="16145" max="16145" width="9.7109375" style="112" bestFit="1" customWidth="1"/>
    <col min="16146" max="16146" width="18.85546875" style="112" customWidth="1"/>
    <col min="16147" max="16147" width="11.42578125" style="112"/>
    <col min="16148" max="16148" width="17" style="112" customWidth="1"/>
    <col min="16149" max="16384" width="11.42578125" style="112"/>
  </cols>
  <sheetData>
    <row r="1" spans="1:20" ht="18">
      <c r="A1" s="456"/>
      <c r="B1" s="456"/>
      <c r="C1" s="456"/>
      <c r="D1" s="456"/>
      <c r="E1" s="457"/>
      <c r="F1" s="456"/>
      <c r="G1" s="456"/>
      <c r="H1" s="457"/>
      <c r="I1" s="456"/>
      <c r="J1" s="456"/>
      <c r="K1" s="457"/>
      <c r="L1" s="456"/>
      <c r="M1" s="458"/>
      <c r="N1" s="457"/>
      <c r="O1" s="456"/>
      <c r="P1" s="458"/>
      <c r="Q1" s="457"/>
      <c r="R1" s="459"/>
      <c r="S1" s="456"/>
      <c r="T1" s="456"/>
    </row>
    <row r="2" spans="1:20" ht="18">
      <c r="A2" s="456"/>
      <c r="B2" s="456"/>
      <c r="C2" s="456"/>
      <c r="D2" s="456"/>
      <c r="E2" s="457"/>
      <c r="F2" s="456"/>
      <c r="G2" s="456"/>
      <c r="H2" s="457"/>
      <c r="I2" s="456"/>
      <c r="J2" s="456"/>
      <c r="K2" s="457"/>
      <c r="L2" s="456"/>
      <c r="M2" s="458"/>
      <c r="N2" s="457"/>
      <c r="O2" s="460" t="s">
        <v>49</v>
      </c>
      <c r="P2" s="461">
        <f>+$C$117</f>
        <v>2008</v>
      </c>
      <c r="Q2" s="462">
        <f>+'2.Estado Resultados'!B9/'2.Estado Resultados'!B8</f>
        <v>0.8563562303021921</v>
      </c>
      <c r="R2" s="459"/>
      <c r="S2" s="456"/>
      <c r="T2" s="456"/>
    </row>
    <row r="3" spans="1:20" ht="18">
      <c r="A3" s="456"/>
      <c r="B3" s="456"/>
      <c r="C3" s="456"/>
      <c r="D3" s="456"/>
      <c r="E3" s="457"/>
      <c r="F3" s="456"/>
      <c r="G3" s="456"/>
      <c r="H3" s="457"/>
      <c r="I3" s="456"/>
      <c r="J3" s="456"/>
      <c r="K3" s="457"/>
      <c r="L3" s="456"/>
      <c r="M3" s="458"/>
      <c r="N3" s="457"/>
      <c r="O3" s="460" t="s">
        <v>50</v>
      </c>
      <c r="P3" s="461">
        <f>+$C$118</f>
        <v>2009</v>
      </c>
      <c r="Q3" s="462">
        <f>+'2.Estado Resultados'!C9/'2.Estado Resultados'!C8</f>
        <v>0.83451344021475604</v>
      </c>
      <c r="R3" s="459"/>
      <c r="S3" s="456"/>
      <c r="T3" s="456"/>
    </row>
    <row r="4" spans="1:20" ht="18">
      <c r="A4" s="456"/>
      <c r="B4" s="456"/>
      <c r="C4" s="456"/>
      <c r="D4" s="456"/>
      <c r="E4" s="457"/>
      <c r="F4" s="456"/>
      <c r="G4" s="456"/>
      <c r="H4" s="457"/>
      <c r="I4" s="456"/>
      <c r="J4" s="456"/>
      <c r="K4" s="457"/>
      <c r="L4" s="456"/>
      <c r="M4" s="458"/>
      <c r="N4" s="457"/>
      <c r="O4" s="458"/>
      <c r="P4" s="461">
        <f>+$C$119</f>
        <v>2010</v>
      </c>
      <c r="Q4" s="462">
        <f>+'2.Estado Resultados'!D9/'2.Estado Resultados'!D8</f>
        <v>0.83583641289294741</v>
      </c>
      <c r="R4" s="459"/>
      <c r="S4" s="456"/>
      <c r="T4" s="456"/>
    </row>
    <row r="5" spans="1:20" ht="18">
      <c r="A5" s="456"/>
      <c r="B5" s="456"/>
      <c r="C5" s="456"/>
      <c r="D5" s="456"/>
      <c r="E5" s="457"/>
      <c r="F5" s="456"/>
      <c r="G5" s="456"/>
      <c r="H5" s="457"/>
      <c r="I5" s="456"/>
      <c r="J5" s="456"/>
      <c r="K5" s="457"/>
      <c r="L5" s="456"/>
      <c r="M5" s="458"/>
      <c r="N5" s="457"/>
      <c r="O5" s="458"/>
      <c r="P5" s="461">
        <f>+$C$120</f>
        <v>2011</v>
      </c>
      <c r="Q5" s="462">
        <f>+'2.Estado Resultados'!E9/'2.Estado Resultados'!E8</f>
        <v>0.83133860986529273</v>
      </c>
      <c r="R5" s="459"/>
      <c r="S5" s="456"/>
      <c r="T5" s="456"/>
    </row>
    <row r="6" spans="1:20" ht="18">
      <c r="A6" s="456"/>
      <c r="B6" s="456"/>
      <c r="C6" s="456"/>
      <c r="D6" s="456"/>
      <c r="E6" s="457"/>
      <c r="F6" s="456"/>
      <c r="G6" s="456"/>
      <c r="H6" s="457"/>
      <c r="I6" s="456"/>
      <c r="J6" s="456"/>
      <c r="K6" s="457"/>
      <c r="L6" s="456"/>
      <c r="M6" s="458"/>
      <c r="N6" s="457"/>
      <c r="O6" s="458"/>
      <c r="P6" s="463"/>
      <c r="Q6" s="464"/>
      <c r="R6" s="459"/>
      <c r="S6" s="456"/>
      <c r="T6" s="456"/>
    </row>
    <row r="7" spans="1:20" ht="18">
      <c r="A7" s="456"/>
      <c r="B7" s="456"/>
      <c r="C7" s="456"/>
      <c r="D7" s="456"/>
      <c r="E7" s="457"/>
      <c r="F7" s="456"/>
      <c r="G7" s="456"/>
      <c r="H7" s="457"/>
      <c r="I7" s="456"/>
      <c r="J7" s="456"/>
      <c r="K7" s="457"/>
      <c r="L7" s="456"/>
      <c r="M7" s="458"/>
      <c r="N7" s="457"/>
      <c r="O7" s="458"/>
      <c r="P7" s="458"/>
      <c r="Q7" s="457"/>
      <c r="R7" s="459"/>
      <c r="S7" s="456"/>
      <c r="T7" s="456"/>
    </row>
    <row r="8" spans="1:20" ht="18.75">
      <c r="A8" s="456"/>
      <c r="B8" s="456"/>
      <c r="C8" s="456"/>
      <c r="D8" s="456"/>
      <c r="E8" s="457"/>
      <c r="F8" s="456"/>
      <c r="G8" s="456"/>
      <c r="H8" s="457"/>
      <c r="I8" s="456"/>
      <c r="J8" s="456"/>
      <c r="K8" s="457"/>
      <c r="L8" s="456"/>
      <c r="M8" s="458"/>
      <c r="N8" s="457"/>
      <c r="O8" s="465" t="s">
        <v>51</v>
      </c>
      <c r="P8" s="461">
        <f>+$C$117</f>
        <v>2008</v>
      </c>
      <c r="Q8" s="462">
        <f>+'2.Estado Resultados'!B11/'2.Estado Resultados'!B8</f>
        <v>7.3173638975703587E-2</v>
      </c>
      <c r="R8" s="459"/>
      <c r="S8" s="456"/>
      <c r="T8" s="456"/>
    </row>
    <row r="9" spans="1:20" ht="18" customHeight="1">
      <c r="A9" s="456"/>
      <c r="B9" s="466"/>
      <c r="C9" s="456"/>
      <c r="D9" s="456"/>
      <c r="E9" s="457"/>
      <c r="F9" s="456"/>
      <c r="G9" s="456"/>
      <c r="H9" s="457"/>
      <c r="I9" s="456"/>
      <c r="J9" s="466"/>
      <c r="K9" s="457"/>
      <c r="L9" s="466"/>
      <c r="M9" s="460"/>
      <c r="N9" s="457"/>
      <c r="O9" s="467" t="s">
        <v>52</v>
      </c>
      <c r="P9" s="461">
        <f>+$C$118</f>
        <v>2009</v>
      </c>
      <c r="Q9" s="462">
        <f>+'2.Estado Resultados'!C11/'2.Estado Resultados'!C8</f>
        <v>8.543048904434758E-2</v>
      </c>
      <c r="R9" s="459"/>
      <c r="S9" s="456"/>
      <c r="T9" s="456"/>
    </row>
    <row r="10" spans="1:20" ht="18">
      <c r="A10" s="456"/>
      <c r="B10" s="466"/>
      <c r="C10" s="456"/>
      <c r="D10" s="456"/>
      <c r="E10" s="457"/>
      <c r="F10" s="456"/>
      <c r="G10" s="456"/>
      <c r="H10" s="457"/>
      <c r="I10" s="456"/>
      <c r="J10" s="466"/>
      <c r="K10" s="457"/>
      <c r="L10" s="466"/>
      <c r="M10" s="460"/>
      <c r="N10" s="457"/>
      <c r="O10" s="458"/>
      <c r="P10" s="461">
        <f>+$C$119</f>
        <v>2010</v>
      </c>
      <c r="Q10" s="462">
        <f>+'2.Estado Resultados'!D11/'2.Estado Resultados'!D8</f>
        <v>9.6391229794635019E-2</v>
      </c>
      <c r="R10" s="459"/>
      <c r="S10" s="456"/>
      <c r="T10" s="456"/>
    </row>
    <row r="11" spans="1:20" ht="18">
      <c r="A11" s="456"/>
      <c r="B11" s="466"/>
      <c r="C11" s="456"/>
      <c r="D11" s="456"/>
      <c r="E11" s="457"/>
      <c r="F11" s="456"/>
      <c r="G11" s="456"/>
      <c r="H11" s="457"/>
      <c r="I11" s="456"/>
      <c r="J11" s="466"/>
      <c r="K11" s="457"/>
      <c r="L11" s="466"/>
      <c r="M11" s="460"/>
      <c r="N11" s="457"/>
      <c r="O11" s="458"/>
      <c r="P11" s="461">
        <f>+$C$120</f>
        <v>2011</v>
      </c>
      <c r="Q11" s="462">
        <f>+'2.Estado Resultados'!E11/'2.Estado Resultados'!E8</f>
        <v>9.8389913145475932E-2</v>
      </c>
      <c r="R11" s="459"/>
      <c r="S11" s="456"/>
      <c r="T11" s="456"/>
    </row>
    <row r="12" spans="1:20" ht="18">
      <c r="A12" s="456"/>
      <c r="B12" s="466"/>
      <c r="C12" s="456"/>
      <c r="D12" s="456"/>
      <c r="E12" s="457"/>
      <c r="F12" s="456"/>
      <c r="G12" s="456"/>
      <c r="H12" s="457"/>
      <c r="I12" s="456"/>
      <c r="J12" s="466"/>
      <c r="K12" s="457"/>
      <c r="L12" s="464"/>
      <c r="M12" s="460"/>
      <c r="N12" s="457"/>
      <c r="O12" s="456"/>
      <c r="P12" s="463"/>
      <c r="Q12" s="464"/>
      <c r="R12" s="459"/>
      <c r="S12" s="456"/>
      <c r="T12" s="456"/>
    </row>
    <row r="13" spans="1:20" ht="18">
      <c r="A13" s="456"/>
      <c r="B13" s="466"/>
      <c r="C13" s="456"/>
      <c r="D13" s="456"/>
      <c r="E13" s="457"/>
      <c r="F13" s="456"/>
      <c r="G13" s="456"/>
      <c r="H13" s="457"/>
      <c r="I13" s="456"/>
      <c r="J13" s="466"/>
      <c r="K13" s="457"/>
      <c r="L13" s="464"/>
      <c r="M13" s="460"/>
      <c r="N13" s="468" t="s">
        <v>54</v>
      </c>
      <c r="O13" s="456"/>
      <c r="P13" s="458"/>
      <c r="Q13" s="456"/>
      <c r="R13" s="469"/>
      <c r="S13" s="470" t="s">
        <v>55</v>
      </c>
      <c r="T13" s="456"/>
    </row>
    <row r="14" spans="1:20" ht="18.75">
      <c r="A14" s="456"/>
      <c r="B14" s="456"/>
      <c r="C14" s="456"/>
      <c r="D14" s="456"/>
      <c r="E14" s="457"/>
      <c r="F14" s="456"/>
      <c r="G14" s="456"/>
      <c r="H14" s="457"/>
      <c r="I14" s="456"/>
      <c r="J14" s="464"/>
      <c r="K14" s="457"/>
      <c r="L14" s="466"/>
      <c r="M14" s="461">
        <f>+$C$117</f>
        <v>2008</v>
      </c>
      <c r="N14" s="462">
        <f>1-Q2</f>
        <v>0.1436437696978079</v>
      </c>
      <c r="O14" s="471" t="s">
        <v>56</v>
      </c>
      <c r="P14" s="461">
        <f>+$C$117</f>
        <v>2008</v>
      </c>
      <c r="Q14" s="462">
        <f>+'2.Estado Resultados'!B12/'2.Estado Resultados'!B8</f>
        <v>4.7357017705231319E-2</v>
      </c>
      <c r="R14" s="472"/>
      <c r="S14" s="473" t="s">
        <v>57</v>
      </c>
      <c r="T14" s="456"/>
    </row>
    <row r="15" spans="1:20" ht="18.75">
      <c r="A15" s="456"/>
      <c r="B15" s="456"/>
      <c r="C15" s="456"/>
      <c r="D15" s="456"/>
      <c r="E15" s="457"/>
      <c r="F15" s="456"/>
      <c r="G15" s="456"/>
      <c r="H15" s="457"/>
      <c r="I15" s="456"/>
      <c r="J15" s="464"/>
      <c r="K15" s="468" t="s">
        <v>58</v>
      </c>
      <c r="L15" s="466"/>
      <c r="M15" s="461">
        <f>+$C$118</f>
        <v>2009</v>
      </c>
      <c r="N15" s="462">
        <f>1-Q3</f>
        <v>0.16548655978524396</v>
      </c>
      <c r="O15" s="474" t="s">
        <v>59</v>
      </c>
      <c r="P15" s="461">
        <f>+$C$118</f>
        <v>2009</v>
      </c>
      <c r="Q15" s="462">
        <f>+'2.Estado Resultados'!C12/'2.Estado Resultados'!C8</f>
        <v>5.1676301959785745E-2</v>
      </c>
      <c r="R15" s="459"/>
      <c r="S15" s="456"/>
      <c r="T15" s="456"/>
    </row>
    <row r="16" spans="1:20" ht="18">
      <c r="A16" s="456"/>
      <c r="B16" s="456"/>
      <c r="C16" s="456"/>
      <c r="D16" s="456"/>
      <c r="E16" s="457"/>
      <c r="F16" s="456"/>
      <c r="G16" s="456"/>
      <c r="H16" s="457"/>
      <c r="I16" s="456"/>
      <c r="J16" s="464"/>
      <c r="K16" s="468"/>
      <c r="L16" s="466"/>
      <c r="M16" s="461">
        <f>+$C$119</f>
        <v>2010</v>
      </c>
      <c r="N16" s="462">
        <f>1-Q4</f>
        <v>0.16416358710705259</v>
      </c>
      <c r="O16" s="456"/>
      <c r="P16" s="461">
        <f>+$C$119</f>
        <v>2010</v>
      </c>
      <c r="Q16" s="462">
        <f>+'2.Estado Resultados'!D12/'2.Estado Resultados'!D8</f>
        <v>6.1515231137099509E-2</v>
      </c>
      <c r="R16" s="459"/>
      <c r="S16" s="456"/>
      <c r="T16" s="456"/>
    </row>
    <row r="17" spans="1:21" ht="18">
      <c r="A17" s="456"/>
      <c r="B17" s="456"/>
      <c r="C17" s="456"/>
      <c r="D17" s="464"/>
      <c r="E17" s="457"/>
      <c r="F17" s="456"/>
      <c r="G17" s="464"/>
      <c r="H17" s="468" t="s">
        <v>60</v>
      </c>
      <c r="I17" s="456"/>
      <c r="J17" s="461">
        <f>+$C$117</f>
        <v>2008</v>
      </c>
      <c r="K17" s="462">
        <f>+'2.Estado Resultados'!B13/'2.Estado Resultados'!B8</f>
        <v>2.3113113016873032E-2</v>
      </c>
      <c r="L17" s="466"/>
      <c r="M17" s="461">
        <f>+$C$120</f>
        <v>2011</v>
      </c>
      <c r="N17" s="462">
        <f>1-Q5</f>
        <v>0.16866139013470727</v>
      </c>
      <c r="O17" s="473"/>
      <c r="P17" s="461">
        <f>+$C$120</f>
        <v>2011</v>
      </c>
      <c r="Q17" s="462">
        <f>+'2.Estado Resultados'!E12/'2.Estado Resultados'!E8</f>
        <v>6.1736132314255975E-2</v>
      </c>
      <c r="R17" s="459"/>
      <c r="S17" s="456"/>
      <c r="T17" s="456"/>
    </row>
    <row r="18" spans="1:21" ht="18">
      <c r="A18" s="464"/>
      <c r="B18" s="464"/>
      <c r="C18" s="456"/>
      <c r="D18" s="464"/>
      <c r="E18" s="457"/>
      <c r="F18" s="456"/>
      <c r="G18" s="464"/>
      <c r="H18" s="468"/>
      <c r="I18" s="456"/>
      <c r="J18" s="461">
        <f>+$C$118</f>
        <v>2009</v>
      </c>
      <c r="K18" s="462">
        <f>+'2.Estado Resultados'!C13/'2.Estado Resultados'!C8</f>
        <v>2.8379768781110596E-2</v>
      </c>
      <c r="L18" s="466"/>
      <c r="M18" s="463"/>
      <c r="N18" s="464"/>
      <c r="O18" s="456"/>
      <c r="P18" s="463"/>
      <c r="Q18" s="464"/>
      <c r="R18" s="459"/>
      <c r="S18" s="456"/>
      <c r="T18" s="456"/>
    </row>
    <row r="19" spans="1:21" ht="18">
      <c r="A19" s="475"/>
      <c r="B19" s="464"/>
      <c r="C19" s="456"/>
      <c r="D19" s="456"/>
      <c r="E19" s="457"/>
      <c r="F19" s="456"/>
      <c r="G19" s="461">
        <f>+$C$117</f>
        <v>2008</v>
      </c>
      <c r="H19" s="476">
        <f>+'2.Estado Resultados'!B20/'2.Estado Resultados'!B8</f>
        <v>6.3617641820040314E-3</v>
      </c>
      <c r="I19" s="456"/>
      <c r="J19" s="461">
        <f>+$C$119</f>
        <v>2010</v>
      </c>
      <c r="K19" s="462">
        <f>+'2.Estado Resultados'!D13/'2.Estado Resultados'!D8</f>
        <v>6.2571261753180084E-3</v>
      </c>
      <c r="L19" s="466"/>
      <c r="M19" s="460"/>
      <c r="N19" s="457"/>
      <c r="O19" s="456"/>
      <c r="P19" s="458"/>
      <c r="Q19" s="456"/>
      <c r="R19" s="459"/>
      <c r="S19" s="456"/>
      <c r="T19" s="456"/>
    </row>
    <row r="20" spans="1:21" ht="18">
      <c r="A20" s="456"/>
      <c r="B20" s="466"/>
      <c r="C20" s="456"/>
      <c r="D20" s="456"/>
      <c r="E20" s="457"/>
      <c r="F20" s="456"/>
      <c r="G20" s="461">
        <f>+$C$118</f>
        <v>2009</v>
      </c>
      <c r="H20" s="476">
        <f>+'2.Estado Resultados'!C20/'2.Estado Resultados'!C8</f>
        <v>5.7395066463409999E-3</v>
      </c>
      <c r="I20" s="456"/>
      <c r="J20" s="461">
        <f>+$C$120</f>
        <v>2011</v>
      </c>
      <c r="K20" s="462">
        <f>+'2.Estado Resultados'!E13/'2.Estado Resultados'!E8</f>
        <v>8.5353446749754248E-3</v>
      </c>
      <c r="L20" s="466"/>
      <c r="M20" s="460"/>
      <c r="N20" s="457"/>
      <c r="O20" s="456"/>
      <c r="P20" s="461">
        <f>+$C$117</f>
        <v>2008</v>
      </c>
      <c r="Q20" s="462">
        <f>+'2.Estado Resultados'!B14/'2.Estado Resultados'!B8</f>
        <v>1.8255985108859847E-2</v>
      </c>
      <c r="R20" s="472"/>
      <c r="S20" s="456"/>
      <c r="T20" s="456"/>
    </row>
    <row r="21" spans="1:21" ht="18.75">
      <c r="A21" s="456"/>
      <c r="B21" s="466"/>
      <c r="C21" s="456"/>
      <c r="D21" s="456"/>
      <c r="E21" s="457"/>
      <c r="F21" s="456"/>
      <c r="G21" s="461">
        <f>+$C$119</f>
        <v>2010</v>
      </c>
      <c r="H21" s="476">
        <f>+'2.Estado Resultados'!D20/'2.Estado Resultados'!D8</f>
        <v>1.0241454343556846E-3</v>
      </c>
      <c r="I21" s="456"/>
      <c r="J21" s="464"/>
      <c r="K21" s="464"/>
      <c r="L21" s="466"/>
      <c r="M21" s="460"/>
      <c r="N21" s="477"/>
      <c r="O21" s="456"/>
      <c r="P21" s="461">
        <f>+$C$118</f>
        <v>2009</v>
      </c>
      <c r="Q21" s="462">
        <f>+'2.Estado Resultados'!C14/'2.Estado Resultados'!C8</f>
        <v>2.3812442606244745E-2</v>
      </c>
      <c r="R21" s="469"/>
      <c r="S21" s="456"/>
      <c r="T21" s="456"/>
    </row>
    <row r="22" spans="1:21" ht="18.75">
      <c r="A22" s="456"/>
      <c r="B22" s="466"/>
      <c r="C22" s="456"/>
      <c r="D22" s="456"/>
      <c r="E22" s="457"/>
      <c r="F22" s="456"/>
      <c r="G22" s="461">
        <f>+$C$120</f>
        <v>2011</v>
      </c>
      <c r="H22" s="476">
        <f>+'2.Estado Resultados'!E20/'2.Estado Resultados'!E8</f>
        <v>1.1235718367582165E-2</v>
      </c>
      <c r="I22" s="456"/>
      <c r="J22" s="466"/>
      <c r="K22" s="457"/>
      <c r="L22" s="466"/>
      <c r="M22" s="460"/>
      <c r="N22" s="478" t="s">
        <v>61</v>
      </c>
      <c r="O22" s="456"/>
      <c r="P22" s="461">
        <f>+$C$119</f>
        <v>2010</v>
      </c>
      <c r="Q22" s="462">
        <f>+'2.Estado Resultados'!D14/'2.Estado Resultados'!D8</f>
        <v>1.4120157989373895E-2</v>
      </c>
      <c r="R22" s="459"/>
      <c r="S22" s="456"/>
      <c r="T22" s="479"/>
      <c r="U22" s="122"/>
    </row>
    <row r="23" spans="1:21" ht="18.75">
      <c r="A23" s="456"/>
      <c r="B23" s="466"/>
      <c r="C23" s="456"/>
      <c r="D23" s="456"/>
      <c r="E23" s="468" t="s">
        <v>321</v>
      </c>
      <c r="F23" s="456"/>
      <c r="G23" s="464"/>
      <c r="H23" s="464"/>
      <c r="I23" s="456"/>
      <c r="J23" s="458"/>
      <c r="K23" s="480"/>
      <c r="L23" s="466"/>
      <c r="M23" s="460"/>
      <c r="N23" s="481"/>
      <c r="O23" s="482"/>
      <c r="P23" s="461">
        <f>+$C$120</f>
        <v>2011</v>
      </c>
      <c r="Q23" s="462">
        <f>+'2.Estado Resultados'!E14/'2.Estado Resultados'!E8</f>
        <v>2.3931806784618558E-2</v>
      </c>
      <c r="R23" s="459"/>
      <c r="S23" s="456"/>
      <c r="T23" s="456"/>
    </row>
    <row r="24" spans="1:21" ht="18">
      <c r="A24" s="456"/>
      <c r="B24" s="466"/>
      <c r="C24" s="456"/>
      <c r="D24" s="461">
        <f>+$C$117</f>
        <v>2008</v>
      </c>
      <c r="E24" s="476">
        <f>+'2.Estado Resultados'!B20/'1.Estado Situación'!B31</f>
        <v>2.8020281719363264E-2</v>
      </c>
      <c r="F24" s="456"/>
      <c r="G24" s="456"/>
      <c r="H24" s="457"/>
      <c r="I24" s="456"/>
      <c r="J24" s="464"/>
      <c r="K24" s="480"/>
      <c r="L24" s="466"/>
      <c r="M24" s="460"/>
      <c r="N24" s="481"/>
      <c r="O24" s="456"/>
      <c r="P24" s="463"/>
      <c r="Q24" s="464"/>
      <c r="R24" s="459"/>
      <c r="S24" s="456"/>
      <c r="T24" s="456"/>
    </row>
    <row r="25" spans="1:21" ht="18.75">
      <c r="A25" s="456"/>
      <c r="B25" s="466"/>
      <c r="C25" s="456"/>
      <c r="D25" s="461">
        <f>+$C$118</f>
        <v>2009</v>
      </c>
      <c r="E25" s="476">
        <f>+'2.Estado Resultados'!C20/'1.Estado Situación'!C31</f>
        <v>2.1603612676691693E-2</v>
      </c>
      <c r="F25" s="456"/>
      <c r="G25" s="456"/>
      <c r="H25" s="457">
        <f>+H19*H34</f>
        <v>1.6920828368837536E-2</v>
      </c>
      <c r="I25" s="456"/>
      <c r="J25" s="456"/>
      <c r="K25" s="481"/>
      <c r="L25" s="483"/>
      <c r="M25" s="465"/>
      <c r="N25" s="481"/>
      <c r="O25" s="456"/>
      <c r="P25" s="458"/>
      <c r="Q25" s="457"/>
      <c r="R25" s="484"/>
      <c r="S25" s="456"/>
      <c r="T25" s="479"/>
    </row>
    <row r="26" spans="1:21" ht="18">
      <c r="A26" s="456"/>
      <c r="B26" s="466"/>
      <c r="C26" s="456"/>
      <c r="D26" s="461">
        <f>+$C$119</f>
        <v>2010</v>
      </c>
      <c r="E26" s="476">
        <f>+'2.Estado Resultados'!D20/'1.Estado Situación'!D31</f>
        <v>3.2367939234022526E-3</v>
      </c>
      <c r="F26" s="456"/>
      <c r="G26" s="456"/>
      <c r="H26" s="457">
        <f>+H20*H35</f>
        <v>1.4015473411449968E-2</v>
      </c>
      <c r="I26" s="456"/>
      <c r="J26" s="466"/>
      <c r="K26" s="457"/>
      <c r="L26" s="466"/>
      <c r="M26" s="460"/>
      <c r="N26" s="481"/>
      <c r="O26" s="456"/>
      <c r="P26" s="461">
        <f>+$C$117</f>
        <v>2008</v>
      </c>
      <c r="Q26" s="485">
        <f>+('2.Estado Resultados'!B16-'2.Estado Resultados'!B17)/'2.Estado Resultados'!B8</f>
        <v>6.3395996016445627E-3</v>
      </c>
      <c r="R26" s="459"/>
      <c r="S26" s="456"/>
      <c r="T26" s="456"/>
    </row>
    <row r="27" spans="1:21" ht="18.75">
      <c r="A27" s="456"/>
      <c r="B27" s="466"/>
      <c r="C27" s="456"/>
      <c r="D27" s="461">
        <f>+$C$120</f>
        <v>2011</v>
      </c>
      <c r="E27" s="476">
        <f>+'2.Estado Resultados'!E20/'1.Estado Situación'!E31</f>
        <v>3.397851372778294E-2</v>
      </c>
      <c r="F27" s="456"/>
      <c r="G27" s="456"/>
      <c r="H27" s="457">
        <f>+H21*H36</f>
        <v>2.0975439796815888E-3</v>
      </c>
      <c r="I27" s="456"/>
      <c r="J27" s="466"/>
      <c r="K27" s="457"/>
      <c r="L27" s="483"/>
      <c r="M27" s="465"/>
      <c r="N27" s="486"/>
      <c r="O27" s="482"/>
      <c r="P27" s="461">
        <f>+$C$118</f>
        <v>2009</v>
      </c>
      <c r="Q27" s="462">
        <f>+('2.Estado Resultados'!C16-'2.Estado Resultados'!C17)/'2.Estado Resultados'!C8</f>
        <v>7.4155936540245375E-3</v>
      </c>
      <c r="R27" s="459"/>
      <c r="S27" s="456"/>
      <c r="T27" s="456"/>
    </row>
    <row r="28" spans="1:21" ht="18.75">
      <c r="A28" s="456"/>
      <c r="B28" s="466"/>
      <c r="C28" s="456"/>
      <c r="D28" s="464"/>
      <c r="E28" s="464"/>
      <c r="F28" s="456"/>
      <c r="G28" s="456"/>
      <c r="H28" s="457">
        <f>+H22*H37</f>
        <v>2.0508093735289487E-2</v>
      </c>
      <c r="I28" s="456"/>
      <c r="J28" s="466"/>
      <c r="K28" s="457"/>
      <c r="L28" s="483"/>
      <c r="M28" s="465"/>
      <c r="N28" s="478" t="s">
        <v>63</v>
      </c>
      <c r="O28" s="456"/>
      <c r="P28" s="461">
        <f>+$C$119</f>
        <v>2010</v>
      </c>
      <c r="Q28" s="462">
        <f>+('2.Estado Resultados'!D16-'2.Estado Resultados'!D17)/'2.Estado Resultados'!D8</f>
        <v>0</v>
      </c>
      <c r="R28" s="459"/>
      <c r="S28" s="456"/>
      <c r="T28" s="456"/>
    </row>
    <row r="29" spans="1:21" ht="18">
      <c r="A29" s="456"/>
      <c r="B29" s="466"/>
      <c r="C29" s="456"/>
      <c r="D29" s="456" t="s">
        <v>64</v>
      </c>
      <c r="E29" s="487"/>
      <c r="F29" s="456"/>
      <c r="G29" s="456"/>
      <c r="H29" s="457"/>
      <c r="I29" s="456"/>
      <c r="J29" s="466"/>
      <c r="K29" s="457"/>
      <c r="L29" s="466"/>
      <c r="M29" s="460"/>
      <c r="N29" s="481"/>
      <c r="O29" s="456"/>
      <c r="P29" s="461">
        <f>+$C$120</f>
        <v>2011</v>
      </c>
      <c r="Q29" s="462">
        <f>+('2.Estado Resultados'!E16-'2.Estado Resultados'!E17)/'2.Estado Resultados'!E8</f>
        <v>0</v>
      </c>
      <c r="R29" s="459"/>
      <c r="S29" s="456"/>
      <c r="T29" s="456"/>
    </row>
    <row r="30" spans="1:21" ht="18">
      <c r="A30" s="456"/>
      <c r="B30" s="466"/>
      <c r="C30" s="456"/>
      <c r="D30" s="456"/>
      <c r="E30" s="457"/>
      <c r="F30" s="456"/>
      <c r="G30" s="456"/>
      <c r="H30" s="457"/>
      <c r="I30" s="456"/>
      <c r="J30" s="460"/>
      <c r="K30" s="468" t="s">
        <v>318</v>
      </c>
      <c r="L30" s="466"/>
      <c r="M30" s="460"/>
      <c r="N30" s="481"/>
      <c r="O30" s="456"/>
      <c r="P30" s="463"/>
      <c r="Q30" s="464"/>
      <c r="R30" s="459"/>
      <c r="S30" s="458" t="s">
        <v>49</v>
      </c>
      <c r="T30" s="456"/>
    </row>
    <row r="31" spans="1:21" ht="18">
      <c r="A31" s="456"/>
      <c r="B31" s="460" t="s">
        <v>319</v>
      </c>
      <c r="C31" s="456"/>
      <c r="D31" s="456"/>
      <c r="E31" s="457"/>
      <c r="F31" s="456"/>
      <c r="G31" s="456"/>
      <c r="H31" s="457"/>
      <c r="I31" s="456"/>
      <c r="J31" s="461">
        <f>+$C$117</f>
        <v>2008</v>
      </c>
      <c r="K31" s="462">
        <f>+'2.Estado Resultados'!B8/'1.Estado Situación'!B20</f>
        <v>6.678192629820324</v>
      </c>
      <c r="L31" s="466"/>
      <c r="M31" s="460"/>
      <c r="N31" s="481"/>
      <c r="O31" s="456"/>
      <c r="P31" s="458"/>
      <c r="Q31" s="457"/>
      <c r="R31" s="459"/>
      <c r="S31" s="456"/>
      <c r="T31" s="456"/>
    </row>
    <row r="32" spans="1:21" ht="18">
      <c r="A32" s="461">
        <f>+$C$117</f>
        <v>2008</v>
      </c>
      <c r="B32" s="488">
        <f>+'2.Estado Resultados'!B20/'1.Estado Situación'!B44</f>
        <v>5.2048585716796145E-2</v>
      </c>
      <c r="C32" s="456"/>
      <c r="D32" s="457">
        <f>+H19*H34*I56</f>
        <v>5.2048585716796145E-2</v>
      </c>
      <c r="E32" s="457"/>
      <c r="F32" s="456"/>
      <c r="G32" s="458"/>
      <c r="H32" s="457"/>
      <c r="I32" s="456"/>
      <c r="J32" s="461">
        <f>+$C$118</f>
        <v>2009</v>
      </c>
      <c r="K32" s="462">
        <f>+'2.Estado Resultados'!C8/'1.Estado Situación'!C20</f>
        <v>5.465734277059549</v>
      </c>
      <c r="L32" s="466"/>
      <c r="M32" s="460"/>
      <c r="N32" s="481"/>
      <c r="O32" s="456"/>
      <c r="P32" s="461">
        <f>+$C$117</f>
        <v>2008</v>
      </c>
      <c r="Q32" s="462">
        <f>+'2.Estado Resultados'!B19/'2.Estado Resultados'!B8</f>
        <v>5.3631842307959813E-3</v>
      </c>
      <c r="R32" s="459"/>
      <c r="S32" s="456"/>
      <c r="T32" s="456"/>
    </row>
    <row r="33" spans="1:20" ht="18">
      <c r="A33" s="461">
        <f>+$C$118</f>
        <v>2009</v>
      </c>
      <c r="B33" s="488">
        <f>+'2.Estado Resultados'!C20/'1.Estado Situación'!C44</f>
        <v>3.893269495547045E-2</v>
      </c>
      <c r="C33" s="456"/>
      <c r="D33" s="457">
        <f>+H20*H35*I57</f>
        <v>3.893269495547045E-2</v>
      </c>
      <c r="E33" s="457"/>
      <c r="F33" s="456"/>
      <c r="G33" s="460"/>
      <c r="H33" s="468" t="s">
        <v>66</v>
      </c>
      <c r="I33" s="456"/>
      <c r="J33" s="461">
        <f>+$C$119</f>
        <v>2010</v>
      </c>
      <c r="K33" s="462">
        <f>+'2.Estado Resultados'!D8/'1.Estado Situación'!D20</f>
        <v>4.6729181705975931</v>
      </c>
      <c r="L33" s="466"/>
      <c r="M33" s="460"/>
      <c r="N33" s="481"/>
      <c r="O33" s="456"/>
      <c r="P33" s="461">
        <f>+$C$118</f>
        <v>2009</v>
      </c>
      <c r="Q33" s="462">
        <f>+'2.Estado Resultados'!C19/'2.Estado Resultados'!C8</f>
        <v>6.2434131825493885E-3</v>
      </c>
      <c r="R33" s="459"/>
      <c r="S33" s="456"/>
      <c r="T33" s="456"/>
    </row>
    <row r="34" spans="1:20" ht="18.75">
      <c r="A34" s="461">
        <f>+$C$119</f>
        <v>2010</v>
      </c>
      <c r="B34" s="488">
        <f>+'2.Estado Resultados'!D20/'1.Estado Situación'!D44</f>
        <v>5.4171407159464158E-3</v>
      </c>
      <c r="C34" s="456"/>
      <c r="D34" s="457">
        <f>+H21*H36*I58</f>
        <v>5.4171407159464167E-3</v>
      </c>
      <c r="E34" s="457"/>
      <c r="F34" s="456"/>
      <c r="G34" s="461">
        <f>+$C$117</f>
        <v>2008</v>
      </c>
      <c r="H34" s="462">
        <f>+'2.Estado Resultados'!B8/'1.Estado Situación'!B21</f>
        <v>2.6597698193062027</v>
      </c>
      <c r="I34" s="456"/>
      <c r="J34" s="461">
        <f>+$C$120</f>
        <v>2011</v>
      </c>
      <c r="K34" s="462">
        <f>+'2.Estado Resultados'!E8/'1.Estado Situación'!E20</f>
        <v>3.0800149123698941</v>
      </c>
      <c r="L34" s="466"/>
      <c r="M34" s="460"/>
      <c r="N34" s="478" t="s">
        <v>67</v>
      </c>
      <c r="O34" s="489"/>
      <c r="P34" s="461">
        <f>+$C$119</f>
        <v>2010</v>
      </c>
      <c r="Q34" s="462">
        <f>+'2.Estado Resultados'!D19/'2.Estado Resultados'!D8</f>
        <v>2.251752413303209E-3</v>
      </c>
      <c r="R34" s="459"/>
      <c r="S34" s="456"/>
      <c r="T34" s="456"/>
    </row>
    <row r="35" spans="1:20" ht="18">
      <c r="A35" s="461">
        <f>+$C$120</f>
        <v>2011</v>
      </c>
      <c r="B35" s="488">
        <f>+'2.Estado Resultados'!E20/'1.Estado Situación'!E44</f>
        <v>5.3681746733404714E-2</v>
      </c>
      <c r="C35" s="456"/>
      <c r="D35" s="457">
        <f>+H22*H37*I59</f>
        <v>5.3681746733404728E-2</v>
      </c>
      <c r="E35" s="457"/>
      <c r="F35" s="456"/>
      <c r="G35" s="461">
        <f>+$C$118</f>
        <v>2009</v>
      </c>
      <c r="H35" s="462">
        <f>+'2.Estado Resultados'!C8/'1.Estado Situación'!C21</f>
        <v>2.4419299906874383</v>
      </c>
      <c r="I35" s="466"/>
      <c r="J35" s="463"/>
      <c r="K35" s="464"/>
      <c r="L35" s="466"/>
      <c r="M35" s="460"/>
      <c r="N35" s="457"/>
      <c r="O35" s="456"/>
      <c r="P35" s="461">
        <f>+$C$120</f>
        <v>2011</v>
      </c>
      <c r="Q35" s="462">
        <f>+'2.Estado Resultados'!E19/'2.Estado Resultados'!E8</f>
        <v>3.8855354236367045E-4</v>
      </c>
      <c r="R35" s="459"/>
      <c r="S35" s="456"/>
      <c r="T35" s="456"/>
    </row>
    <row r="36" spans="1:20" ht="18">
      <c r="A36" s="464"/>
      <c r="B36" s="464"/>
      <c r="C36" s="456"/>
      <c r="D36" s="457"/>
      <c r="E36" s="457"/>
      <c r="F36" s="456"/>
      <c r="G36" s="461">
        <f>+$C$119</f>
        <v>2010</v>
      </c>
      <c r="H36" s="462">
        <f>+'2.Estado Resultados'!D8/'1.Estado Situación'!D21</f>
        <v>2.0480919108927198</v>
      </c>
      <c r="I36" s="456"/>
      <c r="J36" s="463"/>
      <c r="K36" s="490"/>
      <c r="L36" s="466"/>
      <c r="M36" s="460"/>
      <c r="N36" s="457"/>
      <c r="O36" s="456"/>
      <c r="P36" s="463"/>
      <c r="Q36" s="464"/>
      <c r="R36" s="459"/>
      <c r="S36" s="456"/>
      <c r="T36" s="456"/>
    </row>
    <row r="37" spans="1:20" ht="18">
      <c r="A37" s="456"/>
      <c r="B37" s="466"/>
      <c r="C37" s="456"/>
      <c r="D37" s="456"/>
      <c r="E37" s="457"/>
      <c r="F37" s="456"/>
      <c r="G37" s="461">
        <f>+$C$120</f>
        <v>2011</v>
      </c>
      <c r="H37" s="462">
        <f>+'2.Estado Resultados'!E8/'1.Estado Situación'!E21</f>
        <v>1.8252587920377592</v>
      </c>
      <c r="I37" s="456"/>
      <c r="J37" s="463"/>
      <c r="K37" s="490"/>
      <c r="L37" s="466"/>
      <c r="M37" s="460"/>
      <c r="N37" s="457"/>
      <c r="O37" s="456"/>
      <c r="P37" s="460"/>
      <c r="Q37" s="457"/>
      <c r="R37" s="459"/>
      <c r="S37" s="456"/>
      <c r="T37" s="456"/>
    </row>
    <row r="38" spans="1:20" ht="18">
      <c r="A38" s="456"/>
      <c r="B38" s="487"/>
      <c r="C38" s="456"/>
      <c r="D38" s="456"/>
      <c r="E38" s="457"/>
      <c r="F38" s="456"/>
      <c r="G38" s="463"/>
      <c r="H38" s="464"/>
      <c r="I38" s="456"/>
      <c r="J38" s="460"/>
      <c r="K38" s="457"/>
      <c r="L38" s="466"/>
      <c r="M38" s="460"/>
      <c r="N38" s="468" t="s">
        <v>68</v>
      </c>
      <c r="O38" s="460" t="s">
        <v>195</v>
      </c>
      <c r="P38" s="460"/>
      <c r="Q38" s="457"/>
      <c r="R38" s="459"/>
      <c r="S38" s="456"/>
      <c r="T38" s="456"/>
    </row>
    <row r="39" spans="1:20" ht="18">
      <c r="A39" s="456"/>
      <c r="B39" s="466"/>
      <c r="C39" s="456"/>
      <c r="D39" s="456"/>
      <c r="E39" s="457"/>
      <c r="F39" s="456"/>
      <c r="G39" s="458"/>
      <c r="H39" s="457"/>
      <c r="I39" s="456"/>
      <c r="J39" s="460"/>
      <c r="K39" s="468"/>
      <c r="L39" s="466"/>
      <c r="M39" s="461">
        <f>+$C$117</f>
        <v>2008</v>
      </c>
      <c r="N39" s="462">
        <f>+'2.Estado Resultados'!B8/'1.Estado Situación'!B11</f>
        <v>13.188543534664635</v>
      </c>
      <c r="O39" s="491">
        <f>360/N39</f>
        <v>27.296418217355058</v>
      </c>
      <c r="P39" s="460"/>
      <c r="Q39" s="457"/>
      <c r="R39" s="459"/>
      <c r="S39" s="456"/>
      <c r="T39" s="456"/>
    </row>
    <row r="40" spans="1:20" ht="15" customHeight="1">
      <c r="A40" s="456"/>
      <c r="B40" s="466"/>
      <c r="C40" s="456"/>
      <c r="D40" s="456"/>
      <c r="E40" s="457"/>
      <c r="F40" s="456"/>
      <c r="G40" s="458"/>
      <c r="H40" s="457"/>
      <c r="I40" s="456"/>
      <c r="J40" s="460"/>
      <c r="K40" s="492" t="s">
        <v>69</v>
      </c>
      <c r="L40" s="466"/>
      <c r="M40" s="461">
        <f>+$C$118</f>
        <v>2009</v>
      </c>
      <c r="N40" s="462">
        <f>+'2.Estado Resultados'!C8/'1.Estado Situación'!C11</f>
        <v>9.3080126596104211</v>
      </c>
      <c r="O40" s="491">
        <f>360/N40</f>
        <v>38.676354788613651</v>
      </c>
      <c r="P40" s="458" t="s">
        <v>70</v>
      </c>
      <c r="Q40" s="457"/>
      <c r="R40" s="459"/>
      <c r="S40" s="456"/>
      <c r="T40" s="456"/>
    </row>
    <row r="41" spans="1:20" ht="18">
      <c r="A41" s="456"/>
      <c r="B41" s="466"/>
      <c r="C41" s="456"/>
      <c r="D41" s="456"/>
      <c r="E41" s="457"/>
      <c r="F41" s="456"/>
      <c r="G41" s="458"/>
      <c r="H41" s="457"/>
      <c r="I41" s="456"/>
      <c r="J41" s="461">
        <f>+$C$117</f>
        <v>2008</v>
      </c>
      <c r="K41" s="462">
        <f>+'2.Estado Resultados'!B8/'1.Estado Situación'!B15</f>
        <v>4.4202554190748957</v>
      </c>
      <c r="L41" s="456"/>
      <c r="M41" s="461">
        <f>+$C$119</f>
        <v>2010</v>
      </c>
      <c r="N41" s="462">
        <f>+'2.Estado Resultados'!D8/'1.Estado Situación'!D11</f>
        <v>6.9030891211429717</v>
      </c>
      <c r="O41" s="491">
        <f>360/N41</f>
        <v>52.150565302334293</v>
      </c>
      <c r="P41" s="458"/>
      <c r="Q41" s="457"/>
      <c r="R41" s="459"/>
      <c r="S41" s="456"/>
      <c r="T41" s="456"/>
    </row>
    <row r="42" spans="1:20" ht="18">
      <c r="A42" s="456"/>
      <c r="B42" s="466"/>
      <c r="C42" s="456"/>
      <c r="D42" s="456"/>
      <c r="E42" s="457"/>
      <c r="F42" s="456"/>
      <c r="G42" s="456"/>
      <c r="H42" s="457"/>
      <c r="I42" s="456"/>
      <c r="J42" s="461">
        <f>+$C$118</f>
        <v>2009</v>
      </c>
      <c r="K42" s="462">
        <f>+'2.Estado Resultados'!C8/'1.Estado Situación'!C15</f>
        <v>4.4139564562537821</v>
      </c>
      <c r="L42" s="466"/>
      <c r="M42" s="461">
        <f>+$C$120</f>
        <v>2011</v>
      </c>
      <c r="N42" s="462">
        <f>+'2.Estado Resultados'!E8/'1.Estado Situación'!E11</f>
        <v>13.314982416332501</v>
      </c>
      <c r="O42" s="491">
        <f>360/N42</f>
        <v>27.03721182225631</v>
      </c>
      <c r="P42" s="458"/>
      <c r="Q42" s="457"/>
      <c r="R42" s="459"/>
      <c r="S42" s="456"/>
      <c r="T42" s="456"/>
    </row>
    <row r="43" spans="1:20" ht="18">
      <c r="A43" s="456"/>
      <c r="B43" s="466"/>
      <c r="C43" s="456"/>
      <c r="D43" s="456"/>
      <c r="E43" s="457"/>
      <c r="F43" s="456"/>
      <c r="G43" s="456"/>
      <c r="H43" s="457"/>
      <c r="I43" s="456"/>
      <c r="J43" s="461">
        <f>+$C$119</f>
        <v>2010</v>
      </c>
      <c r="K43" s="462">
        <f>+'2.Estado Resultados'!D8/'1.Estado Situación'!D15</f>
        <v>3.6461711970759607</v>
      </c>
      <c r="L43" s="466"/>
      <c r="M43" s="463"/>
      <c r="N43" s="464"/>
      <c r="O43" s="493"/>
      <c r="P43" s="458"/>
      <c r="Q43" s="457"/>
      <c r="R43" s="459"/>
      <c r="S43" s="456"/>
      <c r="T43" s="456"/>
    </row>
    <row r="44" spans="1:20" ht="18">
      <c r="A44" s="456"/>
      <c r="B44" s="466"/>
      <c r="C44" s="456"/>
      <c r="D44" s="456"/>
      <c r="E44" s="457"/>
      <c r="F44" s="456"/>
      <c r="G44" s="456"/>
      <c r="H44" s="457"/>
      <c r="I44" s="456"/>
      <c r="J44" s="461">
        <f>+$C$120</f>
        <v>2011</v>
      </c>
      <c r="K44" s="462">
        <f>+'2.Estado Resultados'!E8/'1.Estado Situación'!E15</f>
        <v>4.4804119360840069</v>
      </c>
      <c r="L44" s="466"/>
      <c r="M44" s="463"/>
      <c r="N44" s="490"/>
      <c r="O44" s="493"/>
      <c r="P44" s="458"/>
      <c r="Q44" s="457"/>
      <c r="R44" s="459"/>
      <c r="S44" s="456"/>
      <c r="T44" s="456"/>
    </row>
    <row r="45" spans="1:20" ht="18">
      <c r="A45" s="456"/>
      <c r="B45" s="466"/>
      <c r="C45" s="456"/>
      <c r="D45" s="456"/>
      <c r="E45" s="457"/>
      <c r="F45" s="456"/>
      <c r="G45" s="456"/>
      <c r="H45" s="457"/>
      <c r="I45" s="456"/>
      <c r="J45" s="463"/>
      <c r="K45" s="464"/>
      <c r="L45" s="466"/>
      <c r="M45" s="458"/>
      <c r="N45" s="457"/>
      <c r="O45" s="466"/>
      <c r="P45" s="458"/>
      <c r="Q45" s="457"/>
      <c r="R45" s="459"/>
      <c r="S45" s="456"/>
      <c r="T45" s="456"/>
    </row>
    <row r="46" spans="1:20" ht="18">
      <c r="A46" s="456"/>
      <c r="B46" s="456"/>
      <c r="C46" s="456"/>
      <c r="D46" s="456"/>
      <c r="E46" s="457"/>
      <c r="F46" s="456"/>
      <c r="G46" s="463"/>
      <c r="H46" s="464"/>
      <c r="I46" s="456"/>
      <c r="J46" s="456"/>
      <c r="K46" s="457"/>
      <c r="L46" s="466"/>
      <c r="M46" s="458"/>
      <c r="N46" s="468" t="s">
        <v>72</v>
      </c>
      <c r="O46" s="460" t="s">
        <v>194</v>
      </c>
      <c r="P46" s="460"/>
      <c r="Q46" s="457"/>
      <c r="R46" s="459"/>
      <c r="S46" s="456"/>
      <c r="T46" s="456"/>
    </row>
    <row r="47" spans="1:20" ht="18.75">
      <c r="A47" s="456"/>
      <c r="B47" s="456"/>
      <c r="C47" s="456"/>
      <c r="D47" s="456"/>
      <c r="E47" s="457"/>
      <c r="F47" s="456"/>
      <c r="G47" s="458"/>
      <c r="H47" s="457"/>
      <c r="I47" s="456"/>
      <c r="J47" s="456"/>
      <c r="K47" s="494"/>
      <c r="L47" s="466"/>
      <c r="M47" s="461">
        <f>+$C$117</f>
        <v>2008</v>
      </c>
      <c r="N47" s="462">
        <f>+'2.Estado Resultados'!B9/'1.Estado Situación'!B13</f>
        <v>7.8884903811018017</v>
      </c>
      <c r="O47" s="491">
        <f>360/N47</f>
        <v>45.636108128171166</v>
      </c>
      <c r="P47" s="460"/>
      <c r="Q47" s="457"/>
      <c r="R47" s="459"/>
      <c r="S47" s="456"/>
      <c r="T47" s="456"/>
    </row>
    <row r="48" spans="1:20" ht="18.75">
      <c r="A48" s="456"/>
      <c r="B48" s="456"/>
      <c r="C48" s="456"/>
      <c r="D48" s="456"/>
      <c r="E48" s="457"/>
      <c r="F48" s="456"/>
      <c r="G48" s="458"/>
      <c r="H48" s="457"/>
      <c r="I48" s="456"/>
      <c r="J48" s="456"/>
      <c r="K48" s="457"/>
      <c r="L48" s="483"/>
      <c r="M48" s="461">
        <f>+$C$118</f>
        <v>2009</v>
      </c>
      <c r="N48" s="462">
        <f>+'2.Estado Resultados'!C9/(('1.Estado Situación'!C13+'1.Estado Situación'!B13)/2)</f>
        <v>7.8852388481030831</v>
      </c>
      <c r="O48" s="491">
        <f>360/N48</f>
        <v>45.654926494281604</v>
      </c>
      <c r="P48" s="460"/>
      <c r="Q48" s="495"/>
      <c r="R48" s="459"/>
      <c r="S48" s="456"/>
      <c r="T48" s="456"/>
    </row>
    <row r="49" spans="1:20" ht="18.75">
      <c r="A49" s="456"/>
      <c r="B49" s="456"/>
      <c r="C49" s="456"/>
      <c r="D49" s="456"/>
      <c r="E49" s="457"/>
      <c r="F49" s="456"/>
      <c r="G49" s="458"/>
      <c r="H49" s="457"/>
      <c r="I49" s="456"/>
      <c r="J49" s="456"/>
      <c r="K49" s="494"/>
      <c r="L49" s="483"/>
      <c r="M49" s="461">
        <f>+$C$119</f>
        <v>2010</v>
      </c>
      <c r="N49" s="462">
        <f>+'2.Estado Resultados'!D9/(('1.Estado Situación'!C13+'1.Estado Situación'!D13)/2)</f>
        <v>8.3185979492474615</v>
      </c>
      <c r="O49" s="491">
        <f>360/N49</f>
        <v>43.276523543557872</v>
      </c>
      <c r="P49" s="460"/>
      <c r="Q49" s="495"/>
      <c r="R49" s="459"/>
      <c r="S49" s="456"/>
      <c r="T49" s="456"/>
    </row>
    <row r="50" spans="1:20" ht="18.75">
      <c r="A50" s="456"/>
      <c r="B50" s="456"/>
      <c r="C50" s="456"/>
      <c r="D50" s="456"/>
      <c r="E50" s="457"/>
      <c r="F50" s="456"/>
      <c r="G50" s="458"/>
      <c r="H50" s="457"/>
      <c r="I50" s="456"/>
      <c r="J50" s="456"/>
      <c r="K50" s="457"/>
      <c r="L50" s="456"/>
      <c r="M50" s="461">
        <f>+$C$120</f>
        <v>2011</v>
      </c>
      <c r="N50" s="462">
        <f>+'2.Estado Resultados'!E9/(('1.Estado Situación'!E13+'1.Estado Situación'!D13)/2)</f>
        <v>7.7832633720428355</v>
      </c>
      <c r="O50" s="491">
        <f>360/N50</f>
        <v>46.253092410197155</v>
      </c>
      <c r="P50" s="460"/>
      <c r="Q50" s="495"/>
      <c r="R50" s="459"/>
      <c r="S50" s="456"/>
      <c r="T50" s="456"/>
    </row>
    <row r="51" spans="1:20" ht="18.75">
      <c r="A51" s="456"/>
      <c r="B51" s="456"/>
      <c r="C51" s="456"/>
      <c r="D51" s="456"/>
      <c r="E51" s="457"/>
      <c r="F51" s="456"/>
      <c r="G51" s="458"/>
      <c r="H51" s="457"/>
      <c r="I51" s="456"/>
      <c r="J51" s="456"/>
      <c r="K51" s="457"/>
      <c r="L51" s="456"/>
      <c r="M51" s="463"/>
      <c r="N51" s="464"/>
      <c r="O51" s="493"/>
      <c r="P51" s="460"/>
      <c r="Q51" s="495"/>
      <c r="R51" s="459"/>
      <c r="S51" s="456"/>
      <c r="T51" s="456"/>
    </row>
    <row r="52" spans="1:20" ht="18.75">
      <c r="A52" s="456"/>
      <c r="B52" s="456"/>
      <c r="C52" s="456"/>
      <c r="D52" s="456"/>
      <c r="E52" s="457"/>
      <c r="F52" s="456"/>
      <c r="G52" s="458"/>
      <c r="H52" s="457"/>
      <c r="I52" s="456"/>
      <c r="J52" s="456"/>
      <c r="K52" s="457"/>
      <c r="L52" s="456"/>
      <c r="M52" s="463"/>
      <c r="N52" s="490"/>
      <c r="O52" s="493"/>
      <c r="P52" s="460"/>
      <c r="Q52" s="495"/>
      <c r="R52" s="459"/>
      <c r="S52" s="456"/>
      <c r="T52" s="456"/>
    </row>
    <row r="53" spans="1:20" ht="18">
      <c r="A53" s="456"/>
      <c r="B53" s="456"/>
      <c r="C53" s="456"/>
      <c r="D53" s="456"/>
      <c r="E53" s="457"/>
      <c r="F53" s="456"/>
      <c r="G53" s="456"/>
      <c r="H53" s="457"/>
      <c r="I53" s="456"/>
      <c r="J53" s="456"/>
      <c r="K53" s="457"/>
      <c r="L53" s="456"/>
      <c r="M53" s="458"/>
      <c r="N53" s="457"/>
      <c r="O53" s="456"/>
      <c r="P53" s="460"/>
      <c r="Q53" s="457"/>
      <c r="R53" s="459"/>
      <c r="S53" s="456"/>
      <c r="T53" s="456"/>
    </row>
    <row r="54" spans="1:20" ht="18.75">
      <c r="A54" s="456"/>
      <c r="B54" s="456"/>
      <c r="C54" s="456"/>
      <c r="D54" s="456"/>
      <c r="E54" s="457"/>
      <c r="F54" s="456"/>
      <c r="G54" s="456"/>
      <c r="H54" s="457"/>
      <c r="I54" s="456"/>
      <c r="J54" s="456"/>
      <c r="K54" s="471" t="s">
        <v>74</v>
      </c>
      <c r="L54" s="456"/>
      <c r="M54" s="461">
        <f>+$C$117</f>
        <v>2008</v>
      </c>
      <c r="N54" s="462">
        <f>+'1.Estado Situación'!B36/'1.Estado Situación'!B31</f>
        <v>0.46165142945812887</v>
      </c>
      <c r="O54" s="496" t="s">
        <v>322</v>
      </c>
      <c r="P54" s="461">
        <f>+$C$117</f>
        <v>2008</v>
      </c>
      <c r="Q54" s="476">
        <f>+'2.Estado Resultados'!B13/'1.Estado Situación'!B31</f>
        <v>0.10180131165129913</v>
      </c>
      <c r="R54" s="497" t="s">
        <v>76</v>
      </c>
      <c r="S54" s="461">
        <f>+$C$117</f>
        <v>2008</v>
      </c>
      <c r="T54" s="498">
        <f>+'2.Estado Resultados'!B14/'1.Estado Situación'!B36</f>
        <v>0.17417508011415608</v>
      </c>
    </row>
    <row r="55" spans="1:20" ht="18.75">
      <c r="A55" s="456"/>
      <c r="B55" s="456"/>
      <c r="C55" s="456"/>
      <c r="D55" s="456"/>
      <c r="E55" s="457"/>
      <c r="F55" s="456"/>
      <c r="G55" s="456"/>
      <c r="H55" s="457"/>
      <c r="I55" s="456"/>
      <c r="J55" s="456"/>
      <c r="K55" s="465"/>
      <c r="L55" s="456"/>
      <c r="M55" s="461">
        <f>+$C$118</f>
        <v>2009</v>
      </c>
      <c r="N55" s="462">
        <f>+'1.Estado Situación'!C36/'1.Estado Situación'!C31</f>
        <v>0.44510358963331498</v>
      </c>
      <c r="O55" s="456"/>
      <c r="P55" s="461">
        <f>+$C$118</f>
        <v>2009</v>
      </c>
      <c r="Q55" s="476">
        <f>+'2.Estado Resultados'!C13/'1.Estado Situación'!C31</f>
        <v>0.10682199192016645</v>
      </c>
      <c r="R55" s="499"/>
      <c r="S55" s="461">
        <f>+$C$118</f>
        <v>2009</v>
      </c>
      <c r="T55" s="498">
        <f>+'2.Estado Resultados'!C14/'1.Estado Situación'!C36</f>
        <v>0.20136995302104907</v>
      </c>
    </row>
    <row r="56" spans="1:20" ht="18">
      <c r="A56" s="456"/>
      <c r="B56" s="456"/>
      <c r="C56" s="456"/>
      <c r="D56" s="456"/>
      <c r="E56" s="500"/>
      <c r="F56" s="501"/>
      <c r="G56" s="496" t="s">
        <v>71</v>
      </c>
      <c r="H56" s="461">
        <f>+$C$117</f>
        <v>2008</v>
      </c>
      <c r="I56" s="476">
        <f>+'1.Estado Situación'!B21/'1.Estado Situación'!B44</f>
        <v>3.0760069532205705</v>
      </c>
      <c r="J56" s="456"/>
      <c r="K56" s="458"/>
      <c r="L56" s="456"/>
      <c r="M56" s="461">
        <f>+$C$119</f>
        <v>2010</v>
      </c>
      <c r="N56" s="462">
        <f>+'1.Estado Situación'!D36/'1.Estado Situación'!D31</f>
        <v>0.40249033703811404</v>
      </c>
      <c r="O56" s="456"/>
      <c r="P56" s="461">
        <f>+$C$119</f>
        <v>2010</v>
      </c>
      <c r="Q56" s="476">
        <f>+'2.Estado Resultados'!D13/'1.Estado Situación'!D31</f>
        <v>1.9775539003376204E-2</v>
      </c>
      <c r="R56" s="499"/>
      <c r="S56" s="461">
        <f>+$C$119</f>
        <v>2010</v>
      </c>
      <c r="T56" s="498">
        <f>+'2.Estado Resultados'!D14/'1.Estado Situación'!D36</f>
        <v>0.11087599100562362</v>
      </c>
    </row>
    <row r="57" spans="1:20" ht="18.75">
      <c r="A57" s="456"/>
      <c r="B57" s="456"/>
      <c r="C57" s="456"/>
      <c r="D57" s="456"/>
      <c r="E57" s="531" t="s">
        <v>320</v>
      </c>
      <c r="F57" s="532"/>
      <c r="G57" s="533"/>
      <c r="H57" s="461">
        <f>+$C$118</f>
        <v>2009</v>
      </c>
      <c r="I57" s="476">
        <f>+'1.Estado Situación'!C21/'1.Estado Situación'!C44</f>
        <v>2.7778365962054701</v>
      </c>
      <c r="J57" s="456"/>
      <c r="K57" s="481"/>
      <c r="L57" s="456"/>
      <c r="M57" s="461">
        <f>+$C$120</f>
        <v>2011</v>
      </c>
      <c r="N57" s="462">
        <f>+'1.Estado Situación'!E36/'1.Estado Situación'!E31</f>
        <v>0.36703785186932042</v>
      </c>
      <c r="O57" s="456"/>
      <c r="P57" s="461">
        <f>+$C$120</f>
        <v>2011</v>
      </c>
      <c r="Q57" s="476">
        <f>+'2.Estado Resultados'!E13/'1.Estado Situación'!E31</f>
        <v>2.5812174773513934E-2</v>
      </c>
      <c r="R57" s="499"/>
      <c r="S57" s="461">
        <f>+$C$120</f>
        <v>2011</v>
      </c>
      <c r="T57" s="498">
        <f>+'2.Estado Resultados'!E14/'1.Estado Situación'!E36</f>
        <v>0.19718240844936186</v>
      </c>
    </row>
    <row r="58" spans="1:20" ht="18">
      <c r="A58" s="456"/>
      <c r="B58" s="456"/>
      <c r="C58" s="456"/>
      <c r="D58" s="456"/>
      <c r="E58" s="456"/>
      <c r="F58" s="457"/>
      <c r="G58" s="456"/>
      <c r="H58" s="461">
        <f>+$C$119</f>
        <v>2010</v>
      </c>
      <c r="I58" s="476">
        <f>+'1.Estado Situación'!D21/'1.Estado Situación'!D44</f>
        <v>2.5826112674732804</v>
      </c>
      <c r="J58" s="456"/>
      <c r="K58" s="481"/>
      <c r="L58" s="456"/>
      <c r="M58" s="463"/>
      <c r="N58" s="464"/>
      <c r="O58" s="456"/>
      <c r="P58" s="463"/>
      <c r="Q58" s="464"/>
      <c r="R58" s="499"/>
      <c r="S58" s="463"/>
      <c r="T58" s="502"/>
    </row>
    <row r="59" spans="1:20" ht="18">
      <c r="A59" s="456"/>
      <c r="B59" s="456"/>
      <c r="C59" s="456"/>
      <c r="D59" s="456"/>
      <c r="E59" s="456"/>
      <c r="F59" s="457"/>
      <c r="G59" s="456"/>
      <c r="H59" s="461">
        <f>+$C$120</f>
        <v>2011</v>
      </c>
      <c r="I59" s="476">
        <f>+'1.Estado Situación'!E21/'1.Estado Situación'!E44</f>
        <v>2.6175883251904284</v>
      </c>
      <c r="J59" s="456"/>
      <c r="K59" s="481"/>
      <c r="L59" s="456"/>
      <c r="M59" s="463"/>
      <c r="N59" s="480"/>
      <c r="O59" s="456"/>
      <c r="P59" s="463"/>
      <c r="Q59" s="480"/>
      <c r="R59" s="499"/>
      <c r="S59" s="463"/>
      <c r="T59" s="503"/>
    </row>
    <row r="60" spans="1:20" ht="18">
      <c r="A60" s="456"/>
      <c r="B60" s="456"/>
      <c r="C60" s="456"/>
      <c r="D60" s="456"/>
      <c r="E60" s="457"/>
      <c r="F60" s="456"/>
      <c r="G60" s="456"/>
      <c r="H60" s="457"/>
      <c r="I60" s="456"/>
      <c r="J60" s="456"/>
      <c r="K60" s="481"/>
      <c r="L60" s="456"/>
      <c r="M60" s="460"/>
      <c r="N60" s="480"/>
      <c r="O60" s="456"/>
      <c r="P60" s="460"/>
      <c r="Q60" s="457"/>
      <c r="R60" s="500"/>
      <c r="S60" s="460"/>
      <c r="T60" s="456"/>
    </row>
    <row r="61" spans="1:20" ht="18.75">
      <c r="A61" s="456"/>
      <c r="B61" s="456"/>
      <c r="C61" s="456"/>
      <c r="D61" s="456"/>
      <c r="E61" s="457"/>
      <c r="F61" s="456"/>
      <c r="G61" s="456"/>
      <c r="H61" s="457"/>
      <c r="I61" s="456"/>
      <c r="J61" s="456"/>
      <c r="K61" s="471" t="s">
        <v>77</v>
      </c>
      <c r="L61" s="456"/>
      <c r="M61" s="461">
        <f>+$C$117</f>
        <v>2008</v>
      </c>
      <c r="N61" s="498">
        <f>+'1.Estado Situación'!B36/'1.Estado Situación'!B44</f>
        <v>0.85753256295165159</v>
      </c>
      <c r="O61" s="496" t="s">
        <v>78</v>
      </c>
      <c r="P61" s="461">
        <f>+$C$117</f>
        <v>2008</v>
      </c>
      <c r="Q61" s="462">
        <f>+Q54-T54</f>
        <v>-7.2373768462856952E-2</v>
      </c>
      <c r="R61" s="496" t="s">
        <v>79</v>
      </c>
      <c r="S61" s="461">
        <f>+$C$117</f>
        <v>2008</v>
      </c>
      <c r="T61" s="485">
        <f>+Q61*N61</f>
        <v>-6.2062863160423136E-2</v>
      </c>
    </row>
    <row r="62" spans="1:20" ht="18.75">
      <c r="A62" s="456"/>
      <c r="B62" s="456"/>
      <c r="C62" s="456"/>
      <c r="D62" s="456"/>
      <c r="E62" s="457"/>
      <c r="F62" s="456"/>
      <c r="G62" s="456"/>
      <c r="H62" s="457"/>
      <c r="I62" s="456"/>
      <c r="J62" s="456"/>
      <c r="K62" s="471" t="s">
        <v>80</v>
      </c>
      <c r="L62" s="460" t="s">
        <v>81</v>
      </c>
      <c r="M62" s="461">
        <f>+$C$118</f>
        <v>2009</v>
      </c>
      <c r="N62" s="476">
        <f>+'1.Estado Situación'!C36/'1.Estado Situación'!C44</f>
        <v>0.80213816726473874</v>
      </c>
      <c r="O62" s="496" t="s">
        <v>82</v>
      </c>
      <c r="P62" s="461">
        <f>+$C$118</f>
        <v>2009</v>
      </c>
      <c r="Q62" s="485">
        <f>+Q55-T55</f>
        <v>-9.4547961100882622E-2</v>
      </c>
      <c r="R62" s="496" t="s">
        <v>82</v>
      </c>
      <c r="S62" s="461">
        <f>+$C$118</f>
        <v>2009</v>
      </c>
      <c r="T62" s="485">
        <f>+Q62*N62</f>
        <v>-7.5840528236079799E-2</v>
      </c>
    </row>
    <row r="63" spans="1:20" ht="18">
      <c r="A63" s="456"/>
      <c r="B63" s="456"/>
      <c r="C63" s="456"/>
      <c r="D63" s="456"/>
      <c r="E63" s="504"/>
      <c r="F63" s="504"/>
      <c r="G63" s="456"/>
      <c r="H63" s="457"/>
      <c r="I63" s="456"/>
      <c r="J63" s="456"/>
      <c r="K63" s="481"/>
      <c r="L63" s="456"/>
      <c r="M63" s="461">
        <f>+$C$119</f>
        <v>2010</v>
      </c>
      <c r="N63" s="476">
        <f>+'1.Estado Situación'!D36/'1.Estado Situación'!D44</f>
        <v>0.67361310115546724</v>
      </c>
      <c r="O63" s="456"/>
      <c r="P63" s="461">
        <f>+$C$119</f>
        <v>2010</v>
      </c>
      <c r="Q63" s="485">
        <f>+Q56-T56</f>
        <v>-9.1100452002247423E-2</v>
      </c>
      <c r="R63" s="459"/>
      <c r="S63" s="461">
        <f>+$C$119</f>
        <v>2010</v>
      </c>
      <c r="T63" s="485">
        <f>+Q63*N63</f>
        <v>-6.1366457989898683E-2</v>
      </c>
    </row>
    <row r="64" spans="1:20" ht="18">
      <c r="A64" s="456"/>
      <c r="B64" s="456"/>
      <c r="C64" s="456"/>
      <c r="D64" s="456"/>
      <c r="E64" s="457"/>
      <c r="F64" s="456"/>
      <c r="G64" s="456"/>
      <c r="H64" s="457"/>
      <c r="I64" s="456"/>
      <c r="J64" s="456"/>
      <c r="K64" s="481"/>
      <c r="L64" s="456"/>
      <c r="M64" s="461">
        <f>+$C$120</f>
        <v>2011</v>
      </c>
      <c r="N64" s="476">
        <f>+'1.Estado Situación'!E36/'1.Estado Situación'!E44</f>
        <v>0.57987330356687117</v>
      </c>
      <c r="O64" s="456"/>
      <c r="P64" s="461">
        <f>+$C$120</f>
        <v>2011</v>
      </c>
      <c r="Q64" s="485">
        <f>+Q57-T57</f>
        <v>-0.17137023367584792</v>
      </c>
      <c r="R64" s="459"/>
      <c r="S64" s="461">
        <f>+$C$120</f>
        <v>2011</v>
      </c>
      <c r="T64" s="485">
        <f>+Q64*N64</f>
        <v>-9.93730235346406E-2</v>
      </c>
    </row>
    <row r="65" spans="2:19">
      <c r="H65" s="112"/>
      <c r="K65" s="114"/>
      <c r="M65" s="119"/>
      <c r="N65" s="303"/>
      <c r="P65" s="119"/>
      <c r="Q65" s="120"/>
      <c r="S65" s="120"/>
    </row>
    <row r="66" spans="2:19" ht="15">
      <c r="B66" s="401"/>
      <c r="C66" s="168">
        <f>+B110</f>
        <v>2008</v>
      </c>
      <c r="D66" s="168">
        <f>+B111</f>
        <v>2009</v>
      </c>
      <c r="E66" s="168">
        <f>+B112</f>
        <v>2010</v>
      </c>
      <c r="F66" s="168">
        <f>+B113</f>
        <v>2011</v>
      </c>
    </row>
    <row r="67" spans="2:19" ht="14.25">
      <c r="B67" s="402"/>
      <c r="C67" s="402"/>
      <c r="D67" s="402"/>
      <c r="E67" s="54"/>
      <c r="F67" s="54"/>
    </row>
    <row r="68" spans="2:19" ht="14.25">
      <c r="B68" s="420" t="s">
        <v>262</v>
      </c>
      <c r="C68" s="420">
        <f>+'2.Estado Resultados'!B13</f>
        <v>381884652.02666569</v>
      </c>
      <c r="D68" s="420">
        <f>+'2.Estado Resultados'!C13</f>
        <v>404517531.68666744</v>
      </c>
      <c r="E68" s="420">
        <f>+'2.Estado Resultados'!D13</f>
        <v>69924765.399999693</v>
      </c>
      <c r="F68" s="420">
        <f>+'2.Estado Resultados'!E13</f>
        <v>84946960.013333157</v>
      </c>
    </row>
    <row r="69" spans="2:19" ht="15" thickBot="1">
      <c r="B69" s="421" t="s">
        <v>244</v>
      </c>
      <c r="C69" s="421">
        <f>+'1.Estado Situación'!B31</f>
        <v>3751274377.8266664</v>
      </c>
      <c r="D69" s="421">
        <f>+'1.Estado Situación'!C31</f>
        <v>3786837564.2066674</v>
      </c>
      <c r="E69" s="421">
        <f>+'1.Estado Situación'!D31</f>
        <v>3535922099.9266667</v>
      </c>
      <c r="F69" s="421">
        <f>+'1.Estado Situación'!E31</f>
        <v>3290964855.0999999</v>
      </c>
    </row>
    <row r="70" spans="2:19" ht="15.75" thickTop="1">
      <c r="B70" s="422" t="s">
        <v>75</v>
      </c>
      <c r="C70" s="423">
        <f>+C68/C69</f>
        <v>0.10180131165129913</v>
      </c>
      <c r="D70" s="423">
        <f>+D68/D69</f>
        <v>0.10682199192016645</v>
      </c>
      <c r="E70" s="423">
        <f>+E68/E69</f>
        <v>1.9775539003376204E-2</v>
      </c>
      <c r="F70" s="423">
        <f>+F68/F69</f>
        <v>2.5812174773513934E-2</v>
      </c>
      <c r="L70" s="349"/>
      <c r="M70" s="353" t="str">
        <f>+O54</f>
        <v>ROA</v>
      </c>
      <c r="N70" s="354"/>
      <c r="O70" s="352" t="str">
        <f>+R54</f>
        <v>TI</v>
      </c>
      <c r="P70" s="350" t="s">
        <v>263</v>
      </c>
    </row>
    <row r="71" spans="2:19" ht="15">
      <c r="B71" s="420"/>
      <c r="C71" s="420"/>
      <c r="D71" s="420"/>
      <c r="E71" s="420"/>
      <c r="F71" s="420"/>
      <c r="L71" s="116">
        <f>+H56</f>
        <v>2008</v>
      </c>
      <c r="M71" s="347">
        <f>+Q54</f>
        <v>0.10180131165129913</v>
      </c>
      <c r="N71" s="351" t="str">
        <f>IF(M71&gt;O71,"&gt;","&lt;")</f>
        <v>&lt;</v>
      </c>
      <c r="O71" s="347">
        <f>+T54</f>
        <v>0.17417508011415608</v>
      </c>
      <c r="P71" s="348" t="str">
        <f>IF(M71&gt;O71,"Deuda","Acciones")</f>
        <v>Acciones</v>
      </c>
    </row>
    <row r="72" spans="2:19" ht="15">
      <c r="B72" s="420" t="s">
        <v>245</v>
      </c>
      <c r="C72" s="420">
        <f>+'2.Estado Resultados'!B14</f>
        <v>301633125.56</v>
      </c>
      <c r="D72" s="420">
        <f>+'2.Estado Resultados'!C14</f>
        <v>339416102.39333332</v>
      </c>
      <c r="E72" s="420">
        <f>+'2.Estado Resultados'!D14</f>
        <v>157795880.59333333</v>
      </c>
      <c r="F72" s="420">
        <f>+'2.Estado Resultados'!E14</f>
        <v>238178340.93333331</v>
      </c>
      <c r="L72" s="117">
        <f>+H57</f>
        <v>2009</v>
      </c>
      <c r="M72" s="345">
        <f>+Q55</f>
        <v>0.10682199192016645</v>
      </c>
      <c r="N72" s="351" t="str">
        <f>IF(M72&gt;O72,"&gt;","&lt;")</f>
        <v>&lt;</v>
      </c>
      <c r="O72" s="345">
        <f>+T55</f>
        <v>0.20136995302104907</v>
      </c>
      <c r="P72" s="348" t="str">
        <f>IF(M72&gt;O72,"Deuda","Acciones")</f>
        <v>Acciones</v>
      </c>
    </row>
    <row r="73" spans="2:19" ht="15.75" thickBot="1">
      <c r="B73" s="421" t="s">
        <v>246</v>
      </c>
      <c r="C73" s="421">
        <f>+'1.Estado Situación'!B36</f>
        <v>1731781178.8133335</v>
      </c>
      <c r="D73" s="421">
        <f>+'1.Estado Situación'!C36</f>
        <v>1685534993.1866665</v>
      </c>
      <c r="E73" s="421">
        <f>+'1.Estado Situación'!D36</f>
        <v>1423174477.74</v>
      </c>
      <c r="F73" s="421">
        <f>+'1.Estado Situación'!E36</f>
        <v>1207908670.9933333</v>
      </c>
      <c r="L73" s="118">
        <f>+H58</f>
        <v>2010</v>
      </c>
      <c r="M73" s="345">
        <f>+Q56</f>
        <v>1.9775539003376204E-2</v>
      </c>
      <c r="N73" s="351" t="str">
        <f>IF(M73&gt;O73,"&gt;","&lt;")</f>
        <v>&lt;</v>
      </c>
      <c r="O73" s="345">
        <f>+T56</f>
        <v>0.11087599100562362</v>
      </c>
      <c r="P73" s="348" t="str">
        <f>IF(M73&gt;O73,"Deuda","Acciones")</f>
        <v>Acciones</v>
      </c>
    </row>
    <row r="74" spans="2:19" ht="15.75" thickTop="1">
      <c r="B74" s="422" t="s">
        <v>76</v>
      </c>
      <c r="C74" s="423">
        <f>+C72/C73</f>
        <v>0.17417508011415608</v>
      </c>
      <c r="D74" s="423">
        <f>+D72/D73</f>
        <v>0.20136995302104907</v>
      </c>
      <c r="E74" s="423">
        <f>+E72/E73</f>
        <v>0.11087599100562362</v>
      </c>
      <c r="F74" s="423">
        <f>+F72/F73</f>
        <v>0.19718240844936186</v>
      </c>
      <c r="L74" s="199">
        <f>+H59</f>
        <v>2011</v>
      </c>
      <c r="M74" s="346">
        <f>+Q57</f>
        <v>2.5812174773513934E-2</v>
      </c>
      <c r="N74" s="351" t="str">
        <f>IF(M74&gt;O74,"&gt;","&lt;")</f>
        <v>&lt;</v>
      </c>
      <c r="O74" s="346">
        <f>+T57</f>
        <v>0.19718240844936186</v>
      </c>
      <c r="P74" s="348" t="str">
        <f>IF(M74&gt;O74,"Deuda","Acciones")</f>
        <v>Acciones</v>
      </c>
    </row>
    <row r="75" spans="2:19" ht="14.25">
      <c r="B75" s="420"/>
      <c r="C75" s="420"/>
      <c r="D75" s="420"/>
      <c r="E75" s="420"/>
      <c r="F75" s="420"/>
    </row>
    <row r="76" spans="2:19" ht="15">
      <c r="B76" s="422" t="s">
        <v>247</v>
      </c>
      <c r="C76" s="423">
        <f>+C70-C74</f>
        <v>-7.2373768462856952E-2</v>
      </c>
      <c r="D76" s="423">
        <f>+D70-D74</f>
        <v>-9.4547961100882622E-2</v>
      </c>
      <c r="E76" s="423">
        <f>+E70-E74</f>
        <v>-9.1100452002247423E-2</v>
      </c>
      <c r="F76" s="423">
        <f>+F70-F74</f>
        <v>-0.17137023367584792</v>
      </c>
    </row>
    <row r="77" spans="2:19" ht="14.25">
      <c r="B77" s="420"/>
      <c r="C77" s="420"/>
      <c r="D77" s="420"/>
      <c r="E77" s="420"/>
      <c r="F77" s="420"/>
    </row>
    <row r="78" spans="2:19" ht="14.25">
      <c r="B78" s="420" t="s">
        <v>248</v>
      </c>
      <c r="C78" s="420">
        <f>+C73</f>
        <v>1731781178.8133335</v>
      </c>
      <c r="D78" s="420">
        <f>+D73</f>
        <v>1685534993.1866665</v>
      </c>
      <c r="E78" s="420">
        <f>+E73</f>
        <v>1423174477.74</v>
      </c>
      <c r="F78" s="420">
        <f>+F73</f>
        <v>1207908670.9933333</v>
      </c>
    </row>
    <row r="79" spans="2:19" ht="15" thickBot="1">
      <c r="B79" s="421" t="s">
        <v>249</v>
      </c>
      <c r="C79" s="421">
        <f>+'1.Estado Situación'!B44</f>
        <v>2019493199.0133333</v>
      </c>
      <c r="D79" s="421">
        <f>+'1.Estado Situación'!C44</f>
        <v>2101302571.0200002</v>
      </c>
      <c r="E79" s="421">
        <f>+'1.Estado Situación'!D44</f>
        <v>2112747622.1866667</v>
      </c>
      <c r="F79" s="421">
        <f>+'1.Estado Situación'!E44</f>
        <v>2083056184.1066666</v>
      </c>
    </row>
    <row r="80" spans="2:19" ht="15.75" thickTop="1">
      <c r="B80" s="422" t="s">
        <v>81</v>
      </c>
      <c r="C80" s="423">
        <f>+C78/C79</f>
        <v>0.85753256295165159</v>
      </c>
      <c r="D80" s="423">
        <f>+D78/D79</f>
        <v>0.80213816726473874</v>
      </c>
      <c r="E80" s="423">
        <f>+E78/E79</f>
        <v>0.67361310115546724</v>
      </c>
      <c r="F80" s="423">
        <f>+F78/F79</f>
        <v>0.57987330356687117</v>
      </c>
    </row>
    <row r="81" spans="2:6" ht="15" thickBot="1">
      <c r="B81" s="421" t="s">
        <v>250</v>
      </c>
      <c r="C81" s="421">
        <f>+C76*C80</f>
        <v>-6.2062863160423136E-2</v>
      </c>
      <c r="D81" s="421">
        <f>+D76*D80</f>
        <v>-7.5840528236079799E-2</v>
      </c>
      <c r="E81" s="421">
        <f>+E76*E80</f>
        <v>-6.1366457989898683E-2</v>
      </c>
      <c r="F81" s="421">
        <f>+F76*F80</f>
        <v>-9.93730235346406E-2</v>
      </c>
    </row>
    <row r="82" spans="2:6" ht="15" thickTop="1">
      <c r="B82" s="420"/>
      <c r="C82" s="420"/>
      <c r="D82" s="420"/>
      <c r="E82" s="420"/>
      <c r="F82" s="420"/>
    </row>
    <row r="83" spans="2:6" ht="14.25">
      <c r="B83" s="420" t="s">
        <v>251</v>
      </c>
      <c r="C83" s="420">
        <f>+'2.Estado Resultados'!B15+'2.Estado Resultados'!B16</f>
        <v>113473041.97999999</v>
      </c>
      <c r="D83" s="420">
        <f>+'2.Estado Resultados'!C15+'2.Estado Resultados'!C16</f>
        <v>105699861.89999999</v>
      </c>
      <c r="E83" s="420">
        <f>+'2.Estado Resultados'!D15+'2.Estado Resultados'!D16</f>
        <v>124479996.33999999</v>
      </c>
      <c r="F83" s="420">
        <f>+'2.Estado Resultados'!E15+'2.Estado Resultados'!E16</f>
        <v>268920506.40000004</v>
      </c>
    </row>
    <row r="84" spans="2:6" ht="14.25">
      <c r="B84" s="424" t="s">
        <v>252</v>
      </c>
      <c r="C84" s="424">
        <f>+'2.Estado Resultados'!B17</f>
        <v>0</v>
      </c>
      <c r="D84" s="424">
        <f>+'2.Estado Resultados'!C17</f>
        <v>0</v>
      </c>
      <c r="E84" s="424">
        <f>+'2.Estado Resultados'!D17</f>
        <v>0</v>
      </c>
      <c r="F84" s="424">
        <f>+'2.Estado Resultados'!E17</f>
        <v>0</v>
      </c>
    </row>
    <row r="85" spans="2:6" ht="15">
      <c r="B85" s="425" t="s">
        <v>253</v>
      </c>
      <c r="C85" s="425">
        <f>+C83-C84</f>
        <v>113473041.97999999</v>
      </c>
      <c r="D85" s="425">
        <f>+D83-D84</f>
        <v>105699861.89999999</v>
      </c>
      <c r="E85" s="425">
        <f>+E83-E84</f>
        <v>124479996.33999999</v>
      </c>
      <c r="F85" s="425">
        <f>+F83-F84</f>
        <v>268920506.40000004</v>
      </c>
    </row>
    <row r="86" spans="2:6" ht="15" thickBot="1">
      <c r="B86" s="421" t="s">
        <v>249</v>
      </c>
      <c r="C86" s="421">
        <f>+C79</f>
        <v>2019493199.0133333</v>
      </c>
      <c r="D86" s="421">
        <f>+D79</f>
        <v>2101302571.0200002</v>
      </c>
      <c r="E86" s="421">
        <f>+E79</f>
        <v>2112747622.1866667</v>
      </c>
      <c r="F86" s="421">
        <f>+F79</f>
        <v>2083056184.1066666</v>
      </c>
    </row>
    <row r="87" spans="2:6" ht="15.75" thickTop="1">
      <c r="B87" s="422" t="s">
        <v>254</v>
      </c>
      <c r="C87" s="423">
        <f>+C85/C86</f>
        <v>5.6188870571804689E-2</v>
      </c>
      <c r="D87" s="423">
        <f>+D85/D86</f>
        <v>5.0302066612278436E-2</v>
      </c>
      <c r="E87" s="423">
        <f>+E85/E86</f>
        <v>5.8918535764894052E-2</v>
      </c>
      <c r="F87" s="423">
        <f>+F85/F86</f>
        <v>0.12909901732455117</v>
      </c>
    </row>
    <row r="88" spans="2:6" ht="14.25">
      <c r="B88" s="420"/>
      <c r="C88" s="420"/>
      <c r="D88" s="420"/>
      <c r="E88" s="420"/>
      <c r="F88" s="420"/>
    </row>
    <row r="89" spans="2:6" ht="14.25">
      <c r="B89" s="420" t="s">
        <v>255</v>
      </c>
      <c r="C89" s="420">
        <f>+'2.Estado Resultados'!B19</f>
        <v>88612803.573333338</v>
      </c>
      <c r="D89" s="420">
        <f>+'2.Estado Resultados'!C19</f>
        <v>88991919.186666667</v>
      </c>
      <c r="E89" s="420">
        <f>+'2.Estado Resultados'!D19</f>
        <v>25163829.98</v>
      </c>
      <c r="F89" s="420">
        <f>+'2.Estado Resultados'!E19</f>
        <v>3867030.973333329</v>
      </c>
    </row>
    <row r="90" spans="2:6" ht="14.25">
      <c r="B90" s="424" t="s">
        <v>256</v>
      </c>
      <c r="C90" s="424">
        <f>+'2.Estado Resultados'!B18</f>
        <v>193724568.44666567</v>
      </c>
      <c r="D90" s="424">
        <f>+'2.Estado Resultados'!C18</f>
        <v>170801291.19333413</v>
      </c>
      <c r="E90" s="424">
        <f>+'2.Estado Resultados'!D18</f>
        <v>36608881.14666637</v>
      </c>
      <c r="F90" s="424">
        <f>+'2.Estado Resultados'!E18</f>
        <v>115689125.47999986</v>
      </c>
    </row>
    <row r="91" spans="2:6" ht="15.75" thickBot="1">
      <c r="B91" s="426" t="s">
        <v>257</v>
      </c>
      <c r="C91" s="426">
        <f>+C89/C90</f>
        <v>0.45741644585327512</v>
      </c>
      <c r="D91" s="426">
        <f>+D89/D90</f>
        <v>0.52102603302884021</v>
      </c>
      <c r="E91" s="426">
        <f>+E89/E90</f>
        <v>0.68736954508896364</v>
      </c>
      <c r="F91" s="426">
        <f>+F89/F90</f>
        <v>3.3426054154086025E-2</v>
      </c>
    </row>
    <row r="92" spans="2:6" ht="15.75" thickTop="1">
      <c r="B92" s="422" t="s">
        <v>258</v>
      </c>
      <c r="C92" s="423">
        <f>1-C91</f>
        <v>0.54258355414672488</v>
      </c>
      <c r="D92" s="423">
        <f>1-D91</f>
        <v>0.47897396697115979</v>
      </c>
      <c r="E92" s="423">
        <f>1-E91</f>
        <v>0.31263045491103636</v>
      </c>
      <c r="F92" s="423">
        <f>1-F91</f>
        <v>0.96657394584591394</v>
      </c>
    </row>
    <row r="93" spans="2:6" ht="14.25">
      <c r="B93" s="420"/>
      <c r="C93" s="420"/>
      <c r="D93" s="420"/>
      <c r="E93" s="420"/>
      <c r="F93" s="420"/>
    </row>
    <row r="94" spans="2:6" ht="14.25">
      <c r="B94" s="420"/>
      <c r="C94" s="420"/>
      <c r="D94" s="420"/>
      <c r="E94" s="420"/>
      <c r="F94" s="420"/>
    </row>
    <row r="95" spans="2:6" ht="15">
      <c r="B95" s="422" t="s">
        <v>259</v>
      </c>
      <c r="C95" s="420"/>
      <c r="D95" s="420"/>
      <c r="E95" s="420"/>
      <c r="F95" s="420"/>
    </row>
    <row r="96" spans="2:6" ht="14.25">
      <c r="B96" s="420" t="s">
        <v>260</v>
      </c>
      <c r="C96" s="420">
        <f>+'2.Estado Resultados'!B20</f>
        <v>105111764.87333234</v>
      </c>
      <c r="D96" s="420">
        <f>+'2.Estado Resultados'!C20</f>
        <v>81809372.00666745</v>
      </c>
      <c r="E96" s="420">
        <f>+'2.Estado Resultados'!D20</f>
        <v>11445051.166666368</v>
      </c>
      <c r="F96" s="420">
        <f>+'2.Estado Resultados'!E20</f>
        <v>111822094.50666654</v>
      </c>
    </row>
    <row r="97" spans="2:6" ht="15" thickBot="1">
      <c r="B97" s="421" t="s">
        <v>249</v>
      </c>
      <c r="C97" s="421">
        <f>+C86</f>
        <v>2019493199.0133333</v>
      </c>
      <c r="D97" s="421">
        <f>+D86</f>
        <v>2101302571.0200002</v>
      </c>
      <c r="E97" s="421">
        <f>+E86</f>
        <v>2112747622.1866667</v>
      </c>
      <c r="F97" s="421">
        <f>+F86</f>
        <v>2083056184.1066666</v>
      </c>
    </row>
    <row r="98" spans="2:6" ht="15.75" thickTop="1">
      <c r="B98" s="422" t="s">
        <v>65</v>
      </c>
      <c r="C98" s="423">
        <f>+C96/C97</f>
        <v>5.2048585716796145E-2</v>
      </c>
      <c r="D98" s="423">
        <f>+D96/D97</f>
        <v>3.893269495547045E-2</v>
      </c>
      <c r="E98" s="423">
        <f>+E96/E97</f>
        <v>5.4171407159464158E-3</v>
      </c>
      <c r="F98" s="423">
        <f>+F96/F97</f>
        <v>5.3681746733404714E-2</v>
      </c>
    </row>
    <row r="99" spans="2:6" ht="14.25">
      <c r="B99" s="420"/>
      <c r="C99" s="420"/>
      <c r="D99" s="420"/>
      <c r="E99" s="124"/>
      <c r="F99" s="54"/>
    </row>
    <row r="100" spans="2:6" ht="15" thickBot="1">
      <c r="B100" s="421"/>
      <c r="C100" s="421"/>
      <c r="D100" s="421"/>
      <c r="E100" s="421"/>
      <c r="F100" s="421"/>
    </row>
    <row r="101" spans="2:6" ht="16.5" thickTop="1" thickBot="1">
      <c r="B101" s="426" t="s">
        <v>73</v>
      </c>
      <c r="C101" s="426">
        <f>+((C70+C81)+C87)*C92</f>
        <v>5.2048585716796152E-2</v>
      </c>
      <c r="D101" s="426">
        <f>+((D70+D81)+D87)*D92</f>
        <v>3.8932694955470443E-2</v>
      </c>
      <c r="E101" s="426">
        <f>+((E70+E81)+E87)*E92</f>
        <v>5.4171407159464106E-3</v>
      </c>
      <c r="F101" s="426">
        <f>+((F70+F81)+F87)*F92</f>
        <v>5.3681746733404714E-2</v>
      </c>
    </row>
    <row r="102" spans="2:6" ht="15" thickTop="1">
      <c r="B102" s="427"/>
      <c r="C102" s="427"/>
      <c r="D102" s="427"/>
    </row>
    <row r="103" spans="2:6" ht="14.25">
      <c r="B103" s="427"/>
      <c r="C103" s="428">
        <f>+C98-C101</f>
        <v>0</v>
      </c>
      <c r="D103" s="428">
        <f>+D98-D101</f>
        <v>0</v>
      </c>
      <c r="E103" s="428">
        <f>+E98-E101</f>
        <v>0</v>
      </c>
      <c r="F103" s="428">
        <f>+F98-F101</f>
        <v>0</v>
      </c>
    </row>
    <row r="106" spans="2:6" ht="15">
      <c r="B106" s="400" t="s">
        <v>261</v>
      </c>
    </row>
    <row r="108" spans="2:6">
      <c r="B108" s="123" t="s">
        <v>73</v>
      </c>
    </row>
    <row r="110" spans="2:6">
      <c r="B110" s="116">
        <f>+$C$117</f>
        <v>2008</v>
      </c>
      <c r="C110" s="227">
        <f>+(((Q54+((Q54-T54)*N61)+(('2.Estado Resultados'!B15+'2.Estado Resultados'!B16-'2.Estado Resultados'!B17)/'1.Estado Situación'!B44))*(100%-'2.Estado Resultados'!B21)))</f>
        <v>5.2048585716796152E-2</v>
      </c>
      <c r="D110" s="25">
        <f>+C110-B32</f>
        <v>0</v>
      </c>
    </row>
    <row r="111" spans="2:6">
      <c r="B111" s="117">
        <f>+$C$118</f>
        <v>2009</v>
      </c>
      <c r="C111" s="227">
        <f>+(((Q55+((Q55-T55)*N62)+((+'2.Estado Resultados'!C15+'2.Estado Resultados'!C16-'2.Estado Resultados'!C17)/'1.Estado Situación'!C44))*(100%-'2.Estado Resultados'!C21)))</f>
        <v>3.8932694955470443E-2</v>
      </c>
      <c r="D111" s="25">
        <f>+C111-B33</f>
        <v>0</v>
      </c>
    </row>
    <row r="112" spans="2:6">
      <c r="B112" s="118">
        <f>+$C$119</f>
        <v>2010</v>
      </c>
      <c r="C112" s="227">
        <f>+(((Q56+((Q56-T56)*N63)+(('2.Estado Resultados'!D15+'2.Estado Resultados'!D16-'2.Estado Resultados'!D17)/'1.Estado Situación'!D44))*(100%-'2.Estado Resultados'!D21)))</f>
        <v>5.4171407159464106E-3</v>
      </c>
      <c r="D112" s="25">
        <f>+C112-B34</f>
        <v>0</v>
      </c>
    </row>
    <row r="113" spans="2:4">
      <c r="B113" s="199">
        <f>+$C$120</f>
        <v>2011</v>
      </c>
      <c r="C113" s="227">
        <f>+(((Q57+((Q57-T57)*N64)+((+'2.Estado Resultados'!E15+'2.Estado Resultados'!E16-'2.Estado Resultados'!E17)/'1.Estado Situación'!E44))*(100%-'2.Estado Resultados'!E21)))</f>
        <v>5.3681746733404714E-2</v>
      </c>
      <c r="D113" s="25">
        <f>+C113-B35</f>
        <v>0</v>
      </c>
    </row>
    <row r="115" spans="2:4" ht="14.25">
      <c r="B115" s="399" t="s">
        <v>190</v>
      </c>
      <c r="D115" s="315"/>
    </row>
    <row r="117" spans="2:4">
      <c r="B117" s="116">
        <v>1</v>
      </c>
      <c r="C117" s="121">
        <v>2008</v>
      </c>
    </row>
    <row r="118" spans="2:4">
      <c r="B118" s="117">
        <v>2</v>
      </c>
      <c r="C118" s="121">
        <v>2009</v>
      </c>
    </row>
    <row r="119" spans="2:4">
      <c r="B119" s="118">
        <v>3</v>
      </c>
      <c r="C119" s="121">
        <v>2010</v>
      </c>
    </row>
    <row r="120" spans="2:4">
      <c r="B120" s="199">
        <v>4</v>
      </c>
      <c r="C120" s="121">
        <v>2011</v>
      </c>
    </row>
    <row r="121" spans="2:4">
      <c r="B121" s="146"/>
      <c r="C121" s="146"/>
    </row>
  </sheetData>
  <mergeCells count="1">
    <mergeCell ref="E57:G57"/>
  </mergeCells>
  <hyperlinks>
    <hyperlink ref="B115" location="Indice!A1" display="Volver a la página del Indice"/>
  </hyperlinks>
  <pageMargins left="0.75" right="0.75" top="1" bottom="1" header="0" footer="0"/>
  <pageSetup orientation="portrait" r:id="rId1"/>
  <headerFooter alignWithMargins="0"/>
  <ignoredErrors>
    <ignoredError sqref="P70:P74 M70:O70" calculatedColumn="1"/>
  </ignoredErrors>
  <drawing r:id="rId2"/>
  <legacyDrawing r:id="rId3"/>
  <tableParts count="2">
    <tablePart r:id="rId4"/>
    <tablePart r:id="rId5"/>
  </tableParts>
</worksheet>
</file>

<file path=xl/worksheets/sheet9.xml><?xml version="1.0" encoding="utf-8"?>
<worksheet xmlns="http://schemas.openxmlformats.org/spreadsheetml/2006/main" xmlns:r="http://schemas.openxmlformats.org/officeDocument/2006/relationships">
  <dimension ref="B1:V90"/>
  <sheetViews>
    <sheetView showGridLines="0" topLeftCell="D7" zoomScale="115" zoomScaleNormal="115" workbookViewId="0">
      <selection activeCell="D86" sqref="D86"/>
    </sheetView>
  </sheetViews>
  <sheetFormatPr defaultColWidth="11.42578125" defaultRowHeight="12.75"/>
  <cols>
    <col min="1" max="1" width="10.7109375" style="54" customWidth="1"/>
    <col min="2" max="2" width="9.85546875" style="54" bestFit="1" customWidth="1"/>
    <col min="3" max="3" width="23" style="54" bestFit="1" customWidth="1"/>
    <col min="4" max="4" width="17.140625" style="54" bestFit="1" customWidth="1"/>
    <col min="5" max="5" width="8.140625" style="54" bestFit="1" customWidth="1"/>
    <col min="6" max="6" width="11.140625" style="125" customWidth="1"/>
    <col min="7" max="7" width="7.5703125" style="54" customWidth="1"/>
    <col min="8" max="8" width="17.140625" style="54" bestFit="1" customWidth="1"/>
    <col min="9" max="9" width="11.5703125" style="126" customWidth="1"/>
    <col min="10" max="10" width="10.42578125" style="125" customWidth="1"/>
    <col min="11" max="11" width="29.7109375" style="54" bestFit="1" customWidth="1"/>
    <col min="12" max="12" width="17.140625" style="54" bestFit="1" customWidth="1"/>
    <col min="13" max="13" width="11.5703125" style="126" customWidth="1"/>
    <col min="14" max="14" width="15" style="125" bestFit="1" customWidth="1"/>
    <col min="15" max="15" width="29.7109375" style="54" bestFit="1" customWidth="1"/>
    <col min="16" max="16" width="16.5703125" style="54" bestFit="1" customWidth="1"/>
    <col min="17" max="17" width="11.5703125" style="126" customWidth="1"/>
    <col min="18" max="18" width="10.42578125" style="125" customWidth="1"/>
    <col min="19" max="19" width="11.42578125" style="54"/>
    <col min="20" max="20" width="16.85546875" style="54" customWidth="1"/>
    <col min="21" max="258" width="11.42578125" style="54"/>
    <col min="259" max="259" width="35.85546875" style="54" bestFit="1" customWidth="1"/>
    <col min="260" max="260" width="11.7109375" style="54" bestFit="1" customWidth="1"/>
    <col min="261" max="262" width="9" style="54" bestFit="1" customWidth="1"/>
    <col min="263" max="263" width="35.85546875" style="54" customWidth="1"/>
    <col min="264" max="264" width="11.7109375" style="54" bestFit="1" customWidth="1"/>
    <col min="265" max="266" width="9" style="54" bestFit="1" customWidth="1"/>
    <col min="267" max="267" width="35.85546875" style="54" customWidth="1"/>
    <col min="268" max="268" width="11.7109375" style="54" bestFit="1" customWidth="1"/>
    <col min="269" max="270" width="9" style="54" bestFit="1" customWidth="1"/>
    <col min="271" max="271" width="35.85546875" style="54" customWidth="1"/>
    <col min="272" max="272" width="11.7109375" style="54" bestFit="1" customWidth="1"/>
    <col min="273" max="274" width="9" style="54" bestFit="1" customWidth="1"/>
    <col min="275" max="514" width="11.42578125" style="54"/>
    <col min="515" max="515" width="35.85546875" style="54" bestFit="1" customWidth="1"/>
    <col min="516" max="516" width="11.7109375" style="54" bestFit="1" customWidth="1"/>
    <col min="517" max="518" width="9" style="54" bestFit="1" customWidth="1"/>
    <col min="519" max="519" width="35.85546875" style="54" customWidth="1"/>
    <col min="520" max="520" width="11.7109375" style="54" bestFit="1" customWidth="1"/>
    <col min="521" max="522" width="9" style="54" bestFit="1" customWidth="1"/>
    <col min="523" max="523" width="35.85546875" style="54" customWidth="1"/>
    <col min="524" max="524" width="11.7109375" style="54" bestFit="1" customWidth="1"/>
    <col min="525" max="526" width="9" style="54" bestFit="1" customWidth="1"/>
    <col min="527" max="527" width="35.85546875" style="54" customWidth="1"/>
    <col min="528" max="528" width="11.7109375" style="54" bestFit="1" customWidth="1"/>
    <col min="529" max="530" width="9" style="54" bestFit="1" customWidth="1"/>
    <col min="531" max="770" width="11.42578125" style="54"/>
    <col min="771" max="771" width="35.85546875" style="54" bestFit="1" customWidth="1"/>
    <col min="772" max="772" width="11.7109375" style="54" bestFit="1" customWidth="1"/>
    <col min="773" max="774" width="9" style="54" bestFit="1" customWidth="1"/>
    <col min="775" max="775" width="35.85546875" style="54" customWidth="1"/>
    <col min="776" max="776" width="11.7109375" style="54" bestFit="1" customWidth="1"/>
    <col min="777" max="778" width="9" style="54" bestFit="1" customWidth="1"/>
    <col min="779" max="779" width="35.85546875" style="54" customWidth="1"/>
    <col min="780" max="780" width="11.7109375" style="54" bestFit="1" customWidth="1"/>
    <col min="781" max="782" width="9" style="54" bestFit="1" customWidth="1"/>
    <col min="783" max="783" width="35.85546875" style="54" customWidth="1"/>
    <col min="784" max="784" width="11.7109375" style="54" bestFit="1" customWidth="1"/>
    <col min="785" max="786" width="9" style="54" bestFit="1" customWidth="1"/>
    <col min="787" max="1026" width="11.42578125" style="54"/>
    <col min="1027" max="1027" width="35.85546875" style="54" bestFit="1" customWidth="1"/>
    <col min="1028" max="1028" width="11.7109375" style="54" bestFit="1" customWidth="1"/>
    <col min="1029" max="1030" width="9" style="54" bestFit="1" customWidth="1"/>
    <col min="1031" max="1031" width="35.85546875" style="54" customWidth="1"/>
    <col min="1032" max="1032" width="11.7109375" style="54" bestFit="1" customWidth="1"/>
    <col min="1033" max="1034" width="9" style="54" bestFit="1" customWidth="1"/>
    <col min="1035" max="1035" width="35.85546875" style="54" customWidth="1"/>
    <col min="1036" max="1036" width="11.7109375" style="54" bestFit="1" customWidth="1"/>
    <col min="1037" max="1038" width="9" style="54" bestFit="1" customWidth="1"/>
    <col min="1039" max="1039" width="35.85546875" style="54" customWidth="1"/>
    <col min="1040" max="1040" width="11.7109375" style="54" bestFit="1" customWidth="1"/>
    <col min="1041" max="1042" width="9" style="54" bestFit="1" customWidth="1"/>
    <col min="1043" max="1282" width="11.42578125" style="54"/>
    <col min="1283" max="1283" width="35.85546875" style="54" bestFit="1" customWidth="1"/>
    <col min="1284" max="1284" width="11.7109375" style="54" bestFit="1" customWidth="1"/>
    <col min="1285" max="1286" width="9" style="54" bestFit="1" customWidth="1"/>
    <col min="1287" max="1287" width="35.85546875" style="54" customWidth="1"/>
    <col min="1288" max="1288" width="11.7109375" style="54" bestFit="1" customWidth="1"/>
    <col min="1289" max="1290" width="9" style="54" bestFit="1" customWidth="1"/>
    <col min="1291" max="1291" width="35.85546875" style="54" customWidth="1"/>
    <col min="1292" max="1292" width="11.7109375" style="54" bestFit="1" customWidth="1"/>
    <col min="1293" max="1294" width="9" style="54" bestFit="1" customWidth="1"/>
    <col min="1295" max="1295" width="35.85546875" style="54" customWidth="1"/>
    <col min="1296" max="1296" width="11.7109375" style="54" bestFit="1" customWidth="1"/>
    <col min="1297" max="1298" width="9" style="54" bestFit="1" customWidth="1"/>
    <col min="1299" max="1538" width="11.42578125" style="54"/>
    <col min="1539" max="1539" width="35.85546875" style="54" bestFit="1" customWidth="1"/>
    <col min="1540" max="1540" width="11.7109375" style="54" bestFit="1" customWidth="1"/>
    <col min="1541" max="1542" width="9" style="54" bestFit="1" customWidth="1"/>
    <col min="1543" max="1543" width="35.85546875" style="54" customWidth="1"/>
    <col min="1544" max="1544" width="11.7109375" style="54" bestFit="1" customWidth="1"/>
    <col min="1545" max="1546" width="9" style="54" bestFit="1" customWidth="1"/>
    <col min="1547" max="1547" width="35.85546875" style="54" customWidth="1"/>
    <col min="1548" max="1548" width="11.7109375" style="54" bestFit="1" customWidth="1"/>
    <col min="1549" max="1550" width="9" style="54" bestFit="1" customWidth="1"/>
    <col min="1551" max="1551" width="35.85546875" style="54" customWidth="1"/>
    <col min="1552" max="1552" width="11.7109375" style="54" bestFit="1" customWidth="1"/>
    <col min="1553" max="1554" width="9" style="54" bestFit="1" customWidth="1"/>
    <col min="1555" max="1794" width="11.42578125" style="54"/>
    <col min="1795" max="1795" width="35.85546875" style="54" bestFit="1" customWidth="1"/>
    <col min="1796" max="1796" width="11.7109375" style="54" bestFit="1" customWidth="1"/>
    <col min="1797" max="1798" width="9" style="54" bestFit="1" customWidth="1"/>
    <col min="1799" max="1799" width="35.85546875" style="54" customWidth="1"/>
    <col min="1800" max="1800" width="11.7109375" style="54" bestFit="1" customWidth="1"/>
    <col min="1801" max="1802" width="9" style="54" bestFit="1" customWidth="1"/>
    <col min="1803" max="1803" width="35.85546875" style="54" customWidth="1"/>
    <col min="1804" max="1804" width="11.7109375" style="54" bestFit="1" customWidth="1"/>
    <col min="1805" max="1806" width="9" style="54" bestFit="1" customWidth="1"/>
    <col min="1807" max="1807" width="35.85546875" style="54" customWidth="1"/>
    <col min="1808" max="1808" width="11.7109375" style="54" bestFit="1" customWidth="1"/>
    <col min="1809" max="1810" width="9" style="54" bestFit="1" customWidth="1"/>
    <col min="1811" max="2050" width="11.42578125" style="54"/>
    <col min="2051" max="2051" width="35.85546875" style="54" bestFit="1" customWidth="1"/>
    <col min="2052" max="2052" width="11.7109375" style="54" bestFit="1" customWidth="1"/>
    <col min="2053" max="2054" width="9" style="54" bestFit="1" customWidth="1"/>
    <col min="2055" max="2055" width="35.85546875" style="54" customWidth="1"/>
    <col min="2056" max="2056" width="11.7109375" style="54" bestFit="1" customWidth="1"/>
    <col min="2057" max="2058" width="9" style="54" bestFit="1" customWidth="1"/>
    <col min="2059" max="2059" width="35.85546875" style="54" customWidth="1"/>
    <col min="2060" max="2060" width="11.7109375" style="54" bestFit="1" customWidth="1"/>
    <col min="2061" max="2062" width="9" style="54" bestFit="1" customWidth="1"/>
    <col min="2063" max="2063" width="35.85546875" style="54" customWidth="1"/>
    <col min="2064" max="2064" width="11.7109375" style="54" bestFit="1" customWidth="1"/>
    <col min="2065" max="2066" width="9" style="54" bestFit="1" customWidth="1"/>
    <col min="2067" max="2306" width="11.42578125" style="54"/>
    <col min="2307" max="2307" width="35.85546875" style="54" bestFit="1" customWidth="1"/>
    <col min="2308" max="2308" width="11.7109375" style="54" bestFit="1" customWidth="1"/>
    <col min="2309" max="2310" width="9" style="54" bestFit="1" customWidth="1"/>
    <col min="2311" max="2311" width="35.85546875" style="54" customWidth="1"/>
    <col min="2312" max="2312" width="11.7109375" style="54" bestFit="1" customWidth="1"/>
    <col min="2313" max="2314" width="9" style="54" bestFit="1" customWidth="1"/>
    <col min="2315" max="2315" width="35.85546875" style="54" customWidth="1"/>
    <col min="2316" max="2316" width="11.7109375" style="54" bestFit="1" customWidth="1"/>
    <col min="2317" max="2318" width="9" style="54" bestFit="1" customWidth="1"/>
    <col min="2319" max="2319" width="35.85546875" style="54" customWidth="1"/>
    <col min="2320" max="2320" width="11.7109375" style="54" bestFit="1" customWidth="1"/>
    <col min="2321" max="2322" width="9" style="54" bestFit="1" customWidth="1"/>
    <col min="2323" max="2562" width="11.42578125" style="54"/>
    <col min="2563" max="2563" width="35.85546875" style="54" bestFit="1" customWidth="1"/>
    <col min="2564" max="2564" width="11.7109375" style="54" bestFit="1" customWidth="1"/>
    <col min="2565" max="2566" width="9" style="54" bestFit="1" customWidth="1"/>
    <col min="2567" max="2567" width="35.85546875" style="54" customWidth="1"/>
    <col min="2568" max="2568" width="11.7109375" style="54" bestFit="1" customWidth="1"/>
    <col min="2569" max="2570" width="9" style="54" bestFit="1" customWidth="1"/>
    <col min="2571" max="2571" width="35.85546875" style="54" customWidth="1"/>
    <col min="2572" max="2572" width="11.7109375" style="54" bestFit="1" customWidth="1"/>
    <col min="2573" max="2574" width="9" style="54" bestFit="1" customWidth="1"/>
    <col min="2575" max="2575" width="35.85546875" style="54" customWidth="1"/>
    <col min="2576" max="2576" width="11.7109375" style="54" bestFit="1" customWidth="1"/>
    <col min="2577" max="2578" width="9" style="54" bestFit="1" customWidth="1"/>
    <col min="2579" max="2818" width="11.42578125" style="54"/>
    <col min="2819" max="2819" width="35.85546875" style="54" bestFit="1" customWidth="1"/>
    <col min="2820" max="2820" width="11.7109375" style="54" bestFit="1" customWidth="1"/>
    <col min="2821" max="2822" width="9" style="54" bestFit="1" customWidth="1"/>
    <col min="2823" max="2823" width="35.85546875" style="54" customWidth="1"/>
    <col min="2824" max="2824" width="11.7109375" style="54" bestFit="1" customWidth="1"/>
    <col min="2825" max="2826" width="9" style="54" bestFit="1" customWidth="1"/>
    <col min="2827" max="2827" width="35.85546875" style="54" customWidth="1"/>
    <col min="2828" max="2828" width="11.7109375" style="54" bestFit="1" customWidth="1"/>
    <col min="2829" max="2830" width="9" style="54" bestFit="1" customWidth="1"/>
    <col min="2831" max="2831" width="35.85546875" style="54" customWidth="1"/>
    <col min="2832" max="2832" width="11.7109375" style="54" bestFit="1" customWidth="1"/>
    <col min="2833" max="2834" width="9" style="54" bestFit="1" customWidth="1"/>
    <col min="2835" max="3074" width="11.42578125" style="54"/>
    <col min="3075" max="3075" width="35.85546875" style="54" bestFit="1" customWidth="1"/>
    <col min="3076" max="3076" width="11.7109375" style="54" bestFit="1" customWidth="1"/>
    <col min="3077" max="3078" width="9" style="54" bestFit="1" customWidth="1"/>
    <col min="3079" max="3079" width="35.85546875" style="54" customWidth="1"/>
    <col min="3080" max="3080" width="11.7109375" style="54" bestFit="1" customWidth="1"/>
    <col min="3081" max="3082" width="9" style="54" bestFit="1" customWidth="1"/>
    <col min="3083" max="3083" width="35.85546875" style="54" customWidth="1"/>
    <col min="3084" max="3084" width="11.7109375" style="54" bestFit="1" customWidth="1"/>
    <col min="3085" max="3086" width="9" style="54" bestFit="1" customWidth="1"/>
    <col min="3087" max="3087" width="35.85546875" style="54" customWidth="1"/>
    <col min="3088" max="3088" width="11.7109375" style="54" bestFit="1" customWidth="1"/>
    <col min="3089" max="3090" width="9" style="54" bestFit="1" customWidth="1"/>
    <col min="3091" max="3330" width="11.42578125" style="54"/>
    <col min="3331" max="3331" width="35.85546875" style="54" bestFit="1" customWidth="1"/>
    <col min="3332" max="3332" width="11.7109375" style="54" bestFit="1" customWidth="1"/>
    <col min="3333" max="3334" width="9" style="54" bestFit="1" customWidth="1"/>
    <col min="3335" max="3335" width="35.85546875" style="54" customWidth="1"/>
    <col min="3336" max="3336" width="11.7109375" style="54" bestFit="1" customWidth="1"/>
    <col min="3337" max="3338" width="9" style="54" bestFit="1" customWidth="1"/>
    <col min="3339" max="3339" width="35.85546875" style="54" customWidth="1"/>
    <col min="3340" max="3340" width="11.7109375" style="54" bestFit="1" customWidth="1"/>
    <col min="3341" max="3342" width="9" style="54" bestFit="1" customWidth="1"/>
    <col min="3343" max="3343" width="35.85546875" style="54" customWidth="1"/>
    <col min="3344" max="3344" width="11.7109375" style="54" bestFit="1" customWidth="1"/>
    <col min="3345" max="3346" width="9" style="54" bestFit="1" customWidth="1"/>
    <col min="3347" max="3586" width="11.42578125" style="54"/>
    <col min="3587" max="3587" width="35.85546875" style="54" bestFit="1" customWidth="1"/>
    <col min="3588" max="3588" width="11.7109375" style="54" bestFit="1" customWidth="1"/>
    <col min="3589" max="3590" width="9" style="54" bestFit="1" customWidth="1"/>
    <col min="3591" max="3591" width="35.85546875" style="54" customWidth="1"/>
    <col min="3592" max="3592" width="11.7109375" style="54" bestFit="1" customWidth="1"/>
    <col min="3593" max="3594" width="9" style="54" bestFit="1" customWidth="1"/>
    <col min="3595" max="3595" width="35.85546875" style="54" customWidth="1"/>
    <col min="3596" max="3596" width="11.7109375" style="54" bestFit="1" customWidth="1"/>
    <col min="3597" max="3598" width="9" style="54" bestFit="1" customWidth="1"/>
    <col min="3599" max="3599" width="35.85546875" style="54" customWidth="1"/>
    <col min="3600" max="3600" width="11.7109375" style="54" bestFit="1" customWidth="1"/>
    <col min="3601" max="3602" width="9" style="54" bestFit="1" customWidth="1"/>
    <col min="3603" max="3842" width="11.42578125" style="54"/>
    <col min="3843" max="3843" width="35.85546875" style="54" bestFit="1" customWidth="1"/>
    <col min="3844" max="3844" width="11.7109375" style="54" bestFit="1" customWidth="1"/>
    <col min="3845" max="3846" width="9" style="54" bestFit="1" customWidth="1"/>
    <col min="3847" max="3847" width="35.85546875" style="54" customWidth="1"/>
    <col min="3848" max="3848" width="11.7109375" style="54" bestFit="1" customWidth="1"/>
    <col min="3849" max="3850" width="9" style="54" bestFit="1" customWidth="1"/>
    <col min="3851" max="3851" width="35.85546875" style="54" customWidth="1"/>
    <col min="3852" max="3852" width="11.7109375" style="54" bestFit="1" customWidth="1"/>
    <col min="3853" max="3854" width="9" style="54" bestFit="1" customWidth="1"/>
    <col min="3855" max="3855" width="35.85546875" style="54" customWidth="1"/>
    <col min="3856" max="3856" width="11.7109375" style="54" bestFit="1" customWidth="1"/>
    <col min="3857" max="3858" width="9" style="54" bestFit="1" customWidth="1"/>
    <col min="3859" max="4098" width="11.42578125" style="54"/>
    <col min="4099" max="4099" width="35.85546875" style="54" bestFit="1" customWidth="1"/>
    <col min="4100" max="4100" width="11.7109375" style="54" bestFit="1" customWidth="1"/>
    <col min="4101" max="4102" width="9" style="54" bestFit="1" customWidth="1"/>
    <col min="4103" max="4103" width="35.85546875" style="54" customWidth="1"/>
    <col min="4104" max="4104" width="11.7109375" style="54" bestFit="1" customWidth="1"/>
    <col min="4105" max="4106" width="9" style="54" bestFit="1" customWidth="1"/>
    <col min="4107" max="4107" width="35.85546875" style="54" customWidth="1"/>
    <col min="4108" max="4108" width="11.7109375" style="54" bestFit="1" customWidth="1"/>
    <col min="4109" max="4110" width="9" style="54" bestFit="1" customWidth="1"/>
    <col min="4111" max="4111" width="35.85546875" style="54" customWidth="1"/>
    <col min="4112" max="4112" width="11.7109375" style="54" bestFit="1" customWidth="1"/>
    <col min="4113" max="4114" width="9" style="54" bestFit="1" customWidth="1"/>
    <col min="4115" max="4354" width="11.42578125" style="54"/>
    <col min="4355" max="4355" width="35.85546875" style="54" bestFit="1" customWidth="1"/>
    <col min="4356" max="4356" width="11.7109375" style="54" bestFit="1" customWidth="1"/>
    <col min="4357" max="4358" width="9" style="54" bestFit="1" customWidth="1"/>
    <col min="4359" max="4359" width="35.85546875" style="54" customWidth="1"/>
    <col min="4360" max="4360" width="11.7109375" style="54" bestFit="1" customWidth="1"/>
    <col min="4361" max="4362" width="9" style="54" bestFit="1" customWidth="1"/>
    <col min="4363" max="4363" width="35.85546875" style="54" customWidth="1"/>
    <col min="4364" max="4364" width="11.7109375" style="54" bestFit="1" customWidth="1"/>
    <col min="4365" max="4366" width="9" style="54" bestFit="1" customWidth="1"/>
    <col min="4367" max="4367" width="35.85546875" style="54" customWidth="1"/>
    <col min="4368" max="4368" width="11.7109375" style="54" bestFit="1" customWidth="1"/>
    <col min="4369" max="4370" width="9" style="54" bestFit="1" customWidth="1"/>
    <col min="4371" max="4610" width="11.42578125" style="54"/>
    <col min="4611" max="4611" width="35.85546875" style="54" bestFit="1" customWidth="1"/>
    <col min="4612" max="4612" width="11.7109375" style="54" bestFit="1" customWidth="1"/>
    <col min="4613" max="4614" width="9" style="54" bestFit="1" customWidth="1"/>
    <col min="4615" max="4615" width="35.85546875" style="54" customWidth="1"/>
    <col min="4616" max="4616" width="11.7109375" style="54" bestFit="1" customWidth="1"/>
    <col min="4617" max="4618" width="9" style="54" bestFit="1" customWidth="1"/>
    <col min="4619" max="4619" width="35.85546875" style="54" customWidth="1"/>
    <col min="4620" max="4620" width="11.7109375" style="54" bestFit="1" customWidth="1"/>
    <col min="4621" max="4622" width="9" style="54" bestFit="1" customWidth="1"/>
    <col min="4623" max="4623" width="35.85546875" style="54" customWidth="1"/>
    <col min="4624" max="4624" width="11.7109375" style="54" bestFit="1" customWidth="1"/>
    <col min="4625" max="4626" width="9" style="54" bestFit="1" customWidth="1"/>
    <col min="4627" max="4866" width="11.42578125" style="54"/>
    <col min="4867" max="4867" width="35.85546875" style="54" bestFit="1" customWidth="1"/>
    <col min="4868" max="4868" width="11.7109375" style="54" bestFit="1" customWidth="1"/>
    <col min="4869" max="4870" width="9" style="54" bestFit="1" customWidth="1"/>
    <col min="4871" max="4871" width="35.85546875" style="54" customWidth="1"/>
    <col min="4872" max="4872" width="11.7109375" style="54" bestFit="1" customWidth="1"/>
    <col min="4873" max="4874" width="9" style="54" bestFit="1" customWidth="1"/>
    <col min="4875" max="4875" width="35.85546875" style="54" customWidth="1"/>
    <col min="4876" max="4876" width="11.7109375" style="54" bestFit="1" customWidth="1"/>
    <col min="4877" max="4878" width="9" style="54" bestFit="1" customWidth="1"/>
    <col min="4879" max="4879" width="35.85546875" style="54" customWidth="1"/>
    <col min="4880" max="4880" width="11.7109375" style="54" bestFit="1" customWidth="1"/>
    <col min="4881" max="4882" width="9" style="54" bestFit="1" customWidth="1"/>
    <col min="4883" max="5122" width="11.42578125" style="54"/>
    <col min="5123" max="5123" width="35.85546875" style="54" bestFit="1" customWidth="1"/>
    <col min="5124" max="5124" width="11.7109375" style="54" bestFit="1" customWidth="1"/>
    <col min="5125" max="5126" width="9" style="54" bestFit="1" customWidth="1"/>
    <col min="5127" max="5127" width="35.85546875" style="54" customWidth="1"/>
    <col min="5128" max="5128" width="11.7109375" style="54" bestFit="1" customWidth="1"/>
    <col min="5129" max="5130" width="9" style="54" bestFit="1" customWidth="1"/>
    <col min="5131" max="5131" width="35.85546875" style="54" customWidth="1"/>
    <col min="5132" max="5132" width="11.7109375" style="54" bestFit="1" customWidth="1"/>
    <col min="5133" max="5134" width="9" style="54" bestFit="1" customWidth="1"/>
    <col min="5135" max="5135" width="35.85546875" style="54" customWidth="1"/>
    <col min="5136" max="5136" width="11.7109375" style="54" bestFit="1" customWidth="1"/>
    <col min="5137" max="5138" width="9" style="54" bestFit="1" customWidth="1"/>
    <col min="5139" max="5378" width="11.42578125" style="54"/>
    <col min="5379" max="5379" width="35.85546875" style="54" bestFit="1" customWidth="1"/>
    <col min="5380" max="5380" width="11.7109375" style="54" bestFit="1" customWidth="1"/>
    <col min="5381" max="5382" width="9" style="54" bestFit="1" customWidth="1"/>
    <col min="5383" max="5383" width="35.85546875" style="54" customWidth="1"/>
    <col min="5384" max="5384" width="11.7109375" style="54" bestFit="1" customWidth="1"/>
    <col min="5385" max="5386" width="9" style="54" bestFit="1" customWidth="1"/>
    <col min="5387" max="5387" width="35.85546875" style="54" customWidth="1"/>
    <col min="5388" max="5388" width="11.7109375" style="54" bestFit="1" customWidth="1"/>
    <col min="5389" max="5390" width="9" style="54" bestFit="1" customWidth="1"/>
    <col min="5391" max="5391" width="35.85546875" style="54" customWidth="1"/>
    <col min="5392" max="5392" width="11.7109375" style="54" bestFit="1" customWidth="1"/>
    <col min="5393" max="5394" width="9" style="54" bestFit="1" customWidth="1"/>
    <col min="5395" max="5634" width="11.42578125" style="54"/>
    <col min="5635" max="5635" width="35.85546875" style="54" bestFit="1" customWidth="1"/>
    <col min="5636" max="5636" width="11.7109375" style="54" bestFit="1" customWidth="1"/>
    <col min="5637" max="5638" width="9" style="54" bestFit="1" customWidth="1"/>
    <col min="5639" max="5639" width="35.85546875" style="54" customWidth="1"/>
    <col min="5640" max="5640" width="11.7109375" style="54" bestFit="1" customWidth="1"/>
    <col min="5641" max="5642" width="9" style="54" bestFit="1" customWidth="1"/>
    <col min="5643" max="5643" width="35.85546875" style="54" customWidth="1"/>
    <col min="5644" max="5644" width="11.7109375" style="54" bestFit="1" customWidth="1"/>
    <col min="5645" max="5646" width="9" style="54" bestFit="1" customWidth="1"/>
    <col min="5647" max="5647" width="35.85546875" style="54" customWidth="1"/>
    <col min="5648" max="5648" width="11.7109375" style="54" bestFit="1" customWidth="1"/>
    <col min="5649" max="5650" width="9" style="54" bestFit="1" customWidth="1"/>
    <col min="5651" max="5890" width="11.42578125" style="54"/>
    <col min="5891" max="5891" width="35.85546875" style="54" bestFit="1" customWidth="1"/>
    <col min="5892" max="5892" width="11.7109375" style="54" bestFit="1" customWidth="1"/>
    <col min="5893" max="5894" width="9" style="54" bestFit="1" customWidth="1"/>
    <col min="5895" max="5895" width="35.85546875" style="54" customWidth="1"/>
    <col min="5896" max="5896" width="11.7109375" style="54" bestFit="1" customWidth="1"/>
    <col min="5897" max="5898" width="9" style="54" bestFit="1" customWidth="1"/>
    <col min="5899" max="5899" width="35.85546875" style="54" customWidth="1"/>
    <col min="5900" max="5900" width="11.7109375" style="54" bestFit="1" customWidth="1"/>
    <col min="5901" max="5902" width="9" style="54" bestFit="1" customWidth="1"/>
    <col min="5903" max="5903" width="35.85546875" style="54" customWidth="1"/>
    <col min="5904" max="5904" width="11.7109375" style="54" bestFit="1" customWidth="1"/>
    <col min="5905" max="5906" width="9" style="54" bestFit="1" customWidth="1"/>
    <col min="5907" max="6146" width="11.42578125" style="54"/>
    <col min="6147" max="6147" width="35.85546875" style="54" bestFit="1" customWidth="1"/>
    <col min="6148" max="6148" width="11.7109375" style="54" bestFit="1" customWidth="1"/>
    <col min="6149" max="6150" width="9" style="54" bestFit="1" customWidth="1"/>
    <col min="6151" max="6151" width="35.85546875" style="54" customWidth="1"/>
    <col min="6152" max="6152" width="11.7109375" style="54" bestFit="1" customWidth="1"/>
    <col min="6153" max="6154" width="9" style="54" bestFit="1" customWidth="1"/>
    <col min="6155" max="6155" width="35.85546875" style="54" customWidth="1"/>
    <col min="6156" max="6156" width="11.7109375" style="54" bestFit="1" customWidth="1"/>
    <col min="6157" max="6158" width="9" style="54" bestFit="1" customWidth="1"/>
    <col min="6159" max="6159" width="35.85546875" style="54" customWidth="1"/>
    <col min="6160" max="6160" width="11.7109375" style="54" bestFit="1" customWidth="1"/>
    <col min="6161" max="6162" width="9" style="54" bestFit="1" customWidth="1"/>
    <col min="6163" max="6402" width="11.42578125" style="54"/>
    <col min="6403" max="6403" width="35.85546875" style="54" bestFit="1" customWidth="1"/>
    <col min="6404" max="6404" width="11.7109375" style="54" bestFit="1" customWidth="1"/>
    <col min="6405" max="6406" width="9" style="54" bestFit="1" customWidth="1"/>
    <col min="6407" max="6407" width="35.85546875" style="54" customWidth="1"/>
    <col min="6408" max="6408" width="11.7109375" style="54" bestFit="1" customWidth="1"/>
    <col min="6409" max="6410" width="9" style="54" bestFit="1" customWidth="1"/>
    <col min="6411" max="6411" width="35.85546875" style="54" customWidth="1"/>
    <col min="6412" max="6412" width="11.7109375" style="54" bestFit="1" customWidth="1"/>
    <col min="6413" max="6414" width="9" style="54" bestFit="1" customWidth="1"/>
    <col min="6415" max="6415" width="35.85546875" style="54" customWidth="1"/>
    <col min="6416" max="6416" width="11.7109375" style="54" bestFit="1" customWidth="1"/>
    <col min="6417" max="6418" width="9" style="54" bestFit="1" customWidth="1"/>
    <col min="6419" max="6658" width="11.42578125" style="54"/>
    <col min="6659" max="6659" width="35.85546875" style="54" bestFit="1" customWidth="1"/>
    <col min="6660" max="6660" width="11.7109375" style="54" bestFit="1" customWidth="1"/>
    <col min="6661" max="6662" width="9" style="54" bestFit="1" customWidth="1"/>
    <col min="6663" max="6663" width="35.85546875" style="54" customWidth="1"/>
    <col min="6664" max="6664" width="11.7109375" style="54" bestFit="1" customWidth="1"/>
    <col min="6665" max="6666" width="9" style="54" bestFit="1" customWidth="1"/>
    <col min="6667" max="6667" width="35.85546875" style="54" customWidth="1"/>
    <col min="6668" max="6668" width="11.7109375" style="54" bestFit="1" customWidth="1"/>
    <col min="6669" max="6670" width="9" style="54" bestFit="1" customWidth="1"/>
    <col min="6671" max="6671" width="35.85546875" style="54" customWidth="1"/>
    <col min="6672" max="6672" width="11.7109375" style="54" bestFit="1" customWidth="1"/>
    <col min="6673" max="6674" width="9" style="54" bestFit="1" customWidth="1"/>
    <col min="6675" max="6914" width="11.42578125" style="54"/>
    <col min="6915" max="6915" width="35.85546875" style="54" bestFit="1" customWidth="1"/>
    <col min="6916" max="6916" width="11.7109375" style="54" bestFit="1" customWidth="1"/>
    <col min="6917" max="6918" width="9" style="54" bestFit="1" customWidth="1"/>
    <col min="6919" max="6919" width="35.85546875" style="54" customWidth="1"/>
    <col min="6920" max="6920" width="11.7109375" style="54" bestFit="1" customWidth="1"/>
    <col min="6921" max="6922" width="9" style="54" bestFit="1" customWidth="1"/>
    <col min="6923" max="6923" width="35.85546875" style="54" customWidth="1"/>
    <col min="6924" max="6924" width="11.7109375" style="54" bestFit="1" customWidth="1"/>
    <col min="6925" max="6926" width="9" style="54" bestFit="1" customWidth="1"/>
    <col min="6927" max="6927" width="35.85546875" style="54" customWidth="1"/>
    <col min="6928" max="6928" width="11.7109375" style="54" bestFit="1" customWidth="1"/>
    <col min="6929" max="6930" width="9" style="54" bestFit="1" customWidth="1"/>
    <col min="6931" max="7170" width="11.42578125" style="54"/>
    <col min="7171" max="7171" width="35.85546875" style="54" bestFit="1" customWidth="1"/>
    <col min="7172" max="7172" width="11.7109375" style="54" bestFit="1" customWidth="1"/>
    <col min="7173" max="7174" width="9" style="54" bestFit="1" customWidth="1"/>
    <col min="7175" max="7175" width="35.85546875" style="54" customWidth="1"/>
    <col min="7176" max="7176" width="11.7109375" style="54" bestFit="1" customWidth="1"/>
    <col min="7177" max="7178" width="9" style="54" bestFit="1" customWidth="1"/>
    <col min="7179" max="7179" width="35.85546875" style="54" customWidth="1"/>
    <col min="7180" max="7180" width="11.7109375" style="54" bestFit="1" customWidth="1"/>
    <col min="7181" max="7182" width="9" style="54" bestFit="1" customWidth="1"/>
    <col min="7183" max="7183" width="35.85546875" style="54" customWidth="1"/>
    <col min="7184" max="7184" width="11.7109375" style="54" bestFit="1" customWidth="1"/>
    <col min="7185" max="7186" width="9" style="54" bestFit="1" customWidth="1"/>
    <col min="7187" max="7426" width="11.42578125" style="54"/>
    <col min="7427" max="7427" width="35.85546875" style="54" bestFit="1" customWidth="1"/>
    <col min="7428" max="7428" width="11.7109375" style="54" bestFit="1" customWidth="1"/>
    <col min="7429" max="7430" width="9" style="54" bestFit="1" customWidth="1"/>
    <col min="7431" max="7431" width="35.85546875" style="54" customWidth="1"/>
    <col min="7432" max="7432" width="11.7109375" style="54" bestFit="1" customWidth="1"/>
    <col min="7433" max="7434" width="9" style="54" bestFit="1" customWidth="1"/>
    <col min="7435" max="7435" width="35.85546875" style="54" customWidth="1"/>
    <col min="7436" max="7436" width="11.7109375" style="54" bestFit="1" customWidth="1"/>
    <col min="7437" max="7438" width="9" style="54" bestFit="1" customWidth="1"/>
    <col min="7439" max="7439" width="35.85546875" style="54" customWidth="1"/>
    <col min="7440" max="7440" width="11.7109375" style="54" bestFit="1" customWidth="1"/>
    <col min="7441" max="7442" width="9" style="54" bestFit="1" customWidth="1"/>
    <col min="7443" max="7682" width="11.42578125" style="54"/>
    <col min="7683" max="7683" width="35.85546875" style="54" bestFit="1" customWidth="1"/>
    <col min="7684" max="7684" width="11.7109375" style="54" bestFit="1" customWidth="1"/>
    <col min="7685" max="7686" width="9" style="54" bestFit="1" customWidth="1"/>
    <col min="7687" max="7687" width="35.85546875" style="54" customWidth="1"/>
    <col min="7688" max="7688" width="11.7109375" style="54" bestFit="1" customWidth="1"/>
    <col min="7689" max="7690" width="9" style="54" bestFit="1" customWidth="1"/>
    <col min="7691" max="7691" width="35.85546875" style="54" customWidth="1"/>
    <col min="7692" max="7692" width="11.7109375" style="54" bestFit="1" customWidth="1"/>
    <col min="7693" max="7694" width="9" style="54" bestFit="1" customWidth="1"/>
    <col min="7695" max="7695" width="35.85546875" style="54" customWidth="1"/>
    <col min="7696" max="7696" width="11.7109375" style="54" bestFit="1" customWidth="1"/>
    <col min="7697" max="7698" width="9" style="54" bestFit="1" customWidth="1"/>
    <col min="7699" max="7938" width="11.42578125" style="54"/>
    <col min="7939" max="7939" width="35.85546875" style="54" bestFit="1" customWidth="1"/>
    <col min="7940" max="7940" width="11.7109375" style="54" bestFit="1" customWidth="1"/>
    <col min="7941" max="7942" width="9" style="54" bestFit="1" customWidth="1"/>
    <col min="7943" max="7943" width="35.85546875" style="54" customWidth="1"/>
    <col min="7944" max="7944" width="11.7109375" style="54" bestFit="1" customWidth="1"/>
    <col min="7945" max="7946" width="9" style="54" bestFit="1" customWidth="1"/>
    <col min="7947" max="7947" width="35.85546875" style="54" customWidth="1"/>
    <col min="7948" max="7948" width="11.7109375" style="54" bestFit="1" customWidth="1"/>
    <col min="7949" max="7950" width="9" style="54" bestFit="1" customWidth="1"/>
    <col min="7951" max="7951" width="35.85546875" style="54" customWidth="1"/>
    <col min="7952" max="7952" width="11.7109375" style="54" bestFit="1" customWidth="1"/>
    <col min="7953" max="7954" width="9" style="54" bestFit="1" customWidth="1"/>
    <col min="7955" max="8194" width="11.42578125" style="54"/>
    <col min="8195" max="8195" width="35.85546875" style="54" bestFit="1" customWidth="1"/>
    <col min="8196" max="8196" width="11.7109375" style="54" bestFit="1" customWidth="1"/>
    <col min="8197" max="8198" width="9" style="54" bestFit="1" customWidth="1"/>
    <col min="8199" max="8199" width="35.85546875" style="54" customWidth="1"/>
    <col min="8200" max="8200" width="11.7109375" style="54" bestFit="1" customWidth="1"/>
    <col min="8201" max="8202" width="9" style="54" bestFit="1" customWidth="1"/>
    <col min="8203" max="8203" width="35.85546875" style="54" customWidth="1"/>
    <col min="8204" max="8204" width="11.7109375" style="54" bestFit="1" customWidth="1"/>
    <col min="8205" max="8206" width="9" style="54" bestFit="1" customWidth="1"/>
    <col min="8207" max="8207" width="35.85546875" style="54" customWidth="1"/>
    <col min="8208" max="8208" width="11.7109375" style="54" bestFit="1" customWidth="1"/>
    <col min="8209" max="8210" width="9" style="54" bestFit="1" customWidth="1"/>
    <col min="8211" max="8450" width="11.42578125" style="54"/>
    <col min="8451" max="8451" width="35.85546875" style="54" bestFit="1" customWidth="1"/>
    <col min="8452" max="8452" width="11.7109375" style="54" bestFit="1" customWidth="1"/>
    <col min="8453" max="8454" width="9" style="54" bestFit="1" customWidth="1"/>
    <col min="8455" max="8455" width="35.85546875" style="54" customWidth="1"/>
    <col min="8456" max="8456" width="11.7109375" style="54" bestFit="1" customWidth="1"/>
    <col min="8457" max="8458" width="9" style="54" bestFit="1" customWidth="1"/>
    <col min="8459" max="8459" width="35.85546875" style="54" customWidth="1"/>
    <col min="8460" max="8460" width="11.7109375" style="54" bestFit="1" customWidth="1"/>
    <col min="8461" max="8462" width="9" style="54" bestFit="1" customWidth="1"/>
    <col min="8463" max="8463" width="35.85546875" style="54" customWidth="1"/>
    <col min="8464" max="8464" width="11.7109375" style="54" bestFit="1" customWidth="1"/>
    <col min="8465" max="8466" width="9" style="54" bestFit="1" customWidth="1"/>
    <col min="8467" max="8706" width="11.42578125" style="54"/>
    <col min="8707" max="8707" width="35.85546875" style="54" bestFit="1" customWidth="1"/>
    <col min="8708" max="8708" width="11.7109375" style="54" bestFit="1" customWidth="1"/>
    <col min="8709" max="8710" width="9" style="54" bestFit="1" customWidth="1"/>
    <col min="8711" max="8711" width="35.85546875" style="54" customWidth="1"/>
    <col min="8712" max="8712" width="11.7109375" style="54" bestFit="1" customWidth="1"/>
    <col min="8713" max="8714" width="9" style="54" bestFit="1" customWidth="1"/>
    <col min="8715" max="8715" width="35.85546875" style="54" customWidth="1"/>
    <col min="8716" max="8716" width="11.7109375" style="54" bestFit="1" customWidth="1"/>
    <col min="8717" max="8718" width="9" style="54" bestFit="1" customWidth="1"/>
    <col min="8719" max="8719" width="35.85546875" style="54" customWidth="1"/>
    <col min="8720" max="8720" width="11.7109375" style="54" bestFit="1" customWidth="1"/>
    <col min="8721" max="8722" width="9" style="54" bestFit="1" customWidth="1"/>
    <col min="8723" max="8962" width="11.42578125" style="54"/>
    <col min="8963" max="8963" width="35.85546875" style="54" bestFit="1" customWidth="1"/>
    <col min="8964" max="8964" width="11.7109375" style="54" bestFit="1" customWidth="1"/>
    <col min="8965" max="8966" width="9" style="54" bestFit="1" customWidth="1"/>
    <col min="8967" max="8967" width="35.85546875" style="54" customWidth="1"/>
    <col min="8968" max="8968" width="11.7109375" style="54" bestFit="1" customWidth="1"/>
    <col min="8969" max="8970" width="9" style="54" bestFit="1" customWidth="1"/>
    <col min="8971" max="8971" width="35.85546875" style="54" customWidth="1"/>
    <col min="8972" max="8972" width="11.7109375" style="54" bestFit="1" customWidth="1"/>
    <col min="8973" max="8974" width="9" style="54" bestFit="1" customWidth="1"/>
    <col min="8975" max="8975" width="35.85546875" style="54" customWidth="1"/>
    <col min="8976" max="8976" width="11.7109375" style="54" bestFit="1" customWidth="1"/>
    <col min="8977" max="8978" width="9" style="54" bestFit="1" customWidth="1"/>
    <col min="8979" max="9218" width="11.42578125" style="54"/>
    <col min="9219" max="9219" width="35.85546875" style="54" bestFit="1" customWidth="1"/>
    <col min="9220" max="9220" width="11.7109375" style="54" bestFit="1" customWidth="1"/>
    <col min="9221" max="9222" width="9" style="54" bestFit="1" customWidth="1"/>
    <col min="9223" max="9223" width="35.85546875" style="54" customWidth="1"/>
    <col min="9224" max="9224" width="11.7109375" style="54" bestFit="1" customWidth="1"/>
    <col min="9225" max="9226" width="9" style="54" bestFit="1" customWidth="1"/>
    <col min="9227" max="9227" width="35.85546875" style="54" customWidth="1"/>
    <col min="9228" max="9228" width="11.7109375" style="54" bestFit="1" customWidth="1"/>
    <col min="9229" max="9230" width="9" style="54" bestFit="1" customWidth="1"/>
    <col min="9231" max="9231" width="35.85546875" style="54" customWidth="1"/>
    <col min="9232" max="9232" width="11.7109375" style="54" bestFit="1" customWidth="1"/>
    <col min="9233" max="9234" width="9" style="54" bestFit="1" customWidth="1"/>
    <col min="9235" max="9474" width="11.42578125" style="54"/>
    <col min="9475" max="9475" width="35.85546875" style="54" bestFit="1" customWidth="1"/>
    <col min="9476" max="9476" width="11.7109375" style="54" bestFit="1" customWidth="1"/>
    <col min="9477" max="9478" width="9" style="54" bestFit="1" customWidth="1"/>
    <col min="9479" max="9479" width="35.85546875" style="54" customWidth="1"/>
    <col min="9480" max="9480" width="11.7109375" style="54" bestFit="1" customWidth="1"/>
    <col min="9481" max="9482" width="9" style="54" bestFit="1" customWidth="1"/>
    <col min="9483" max="9483" width="35.85546875" style="54" customWidth="1"/>
    <col min="9484" max="9484" width="11.7109375" style="54" bestFit="1" customWidth="1"/>
    <col min="9485" max="9486" width="9" style="54" bestFit="1" customWidth="1"/>
    <col min="9487" max="9487" width="35.85546875" style="54" customWidth="1"/>
    <col min="9488" max="9488" width="11.7109375" style="54" bestFit="1" customWidth="1"/>
    <col min="9489" max="9490" width="9" style="54" bestFit="1" customWidth="1"/>
    <col min="9491" max="9730" width="11.42578125" style="54"/>
    <col min="9731" max="9731" width="35.85546875" style="54" bestFit="1" customWidth="1"/>
    <col min="9732" max="9732" width="11.7109375" style="54" bestFit="1" customWidth="1"/>
    <col min="9733" max="9734" width="9" style="54" bestFit="1" customWidth="1"/>
    <col min="9735" max="9735" width="35.85546875" style="54" customWidth="1"/>
    <col min="9736" max="9736" width="11.7109375" style="54" bestFit="1" customWidth="1"/>
    <col min="9737" max="9738" width="9" style="54" bestFit="1" customWidth="1"/>
    <col min="9739" max="9739" width="35.85546875" style="54" customWidth="1"/>
    <col min="9740" max="9740" width="11.7109375" style="54" bestFit="1" customWidth="1"/>
    <col min="9741" max="9742" width="9" style="54" bestFit="1" customWidth="1"/>
    <col min="9743" max="9743" width="35.85546875" style="54" customWidth="1"/>
    <col min="9744" max="9744" width="11.7109375" style="54" bestFit="1" customWidth="1"/>
    <col min="9745" max="9746" width="9" style="54" bestFit="1" customWidth="1"/>
    <col min="9747" max="9986" width="11.42578125" style="54"/>
    <col min="9987" max="9987" width="35.85546875" style="54" bestFit="1" customWidth="1"/>
    <col min="9988" max="9988" width="11.7109375" style="54" bestFit="1" customWidth="1"/>
    <col min="9989" max="9990" width="9" style="54" bestFit="1" customWidth="1"/>
    <col min="9991" max="9991" width="35.85546875" style="54" customWidth="1"/>
    <col min="9992" max="9992" width="11.7109375" style="54" bestFit="1" customWidth="1"/>
    <col min="9993" max="9994" width="9" style="54" bestFit="1" customWidth="1"/>
    <col min="9995" max="9995" width="35.85546875" style="54" customWidth="1"/>
    <col min="9996" max="9996" width="11.7109375" style="54" bestFit="1" customWidth="1"/>
    <col min="9997" max="9998" width="9" style="54" bestFit="1" customWidth="1"/>
    <col min="9999" max="9999" width="35.85546875" style="54" customWidth="1"/>
    <col min="10000" max="10000" width="11.7109375" style="54" bestFit="1" customWidth="1"/>
    <col min="10001" max="10002" width="9" style="54" bestFit="1" customWidth="1"/>
    <col min="10003" max="10242" width="11.42578125" style="54"/>
    <col min="10243" max="10243" width="35.85546875" style="54" bestFit="1" customWidth="1"/>
    <col min="10244" max="10244" width="11.7109375" style="54" bestFit="1" customWidth="1"/>
    <col min="10245" max="10246" width="9" style="54" bestFit="1" customWidth="1"/>
    <col min="10247" max="10247" width="35.85546875" style="54" customWidth="1"/>
    <col min="10248" max="10248" width="11.7109375" style="54" bestFit="1" customWidth="1"/>
    <col min="10249" max="10250" width="9" style="54" bestFit="1" customWidth="1"/>
    <col min="10251" max="10251" width="35.85546875" style="54" customWidth="1"/>
    <col min="10252" max="10252" width="11.7109375" style="54" bestFit="1" customWidth="1"/>
    <col min="10253" max="10254" width="9" style="54" bestFit="1" customWidth="1"/>
    <col min="10255" max="10255" width="35.85546875" style="54" customWidth="1"/>
    <col min="10256" max="10256" width="11.7109375" style="54" bestFit="1" customWidth="1"/>
    <col min="10257" max="10258" width="9" style="54" bestFit="1" customWidth="1"/>
    <col min="10259" max="10498" width="11.42578125" style="54"/>
    <col min="10499" max="10499" width="35.85546875" style="54" bestFit="1" customWidth="1"/>
    <col min="10500" max="10500" width="11.7109375" style="54" bestFit="1" customWidth="1"/>
    <col min="10501" max="10502" width="9" style="54" bestFit="1" customWidth="1"/>
    <col min="10503" max="10503" width="35.85546875" style="54" customWidth="1"/>
    <col min="10504" max="10504" width="11.7109375" style="54" bestFit="1" customWidth="1"/>
    <col min="10505" max="10506" width="9" style="54" bestFit="1" customWidth="1"/>
    <col min="10507" max="10507" width="35.85546875" style="54" customWidth="1"/>
    <col min="10508" max="10508" width="11.7109375" style="54" bestFit="1" customWidth="1"/>
    <col min="10509" max="10510" width="9" style="54" bestFit="1" customWidth="1"/>
    <col min="10511" max="10511" width="35.85546875" style="54" customWidth="1"/>
    <col min="10512" max="10512" width="11.7109375" style="54" bestFit="1" customWidth="1"/>
    <col min="10513" max="10514" width="9" style="54" bestFit="1" customWidth="1"/>
    <col min="10515" max="10754" width="11.42578125" style="54"/>
    <col min="10755" max="10755" width="35.85546875" style="54" bestFit="1" customWidth="1"/>
    <col min="10756" max="10756" width="11.7109375" style="54" bestFit="1" customWidth="1"/>
    <col min="10757" max="10758" width="9" style="54" bestFit="1" customWidth="1"/>
    <col min="10759" max="10759" width="35.85546875" style="54" customWidth="1"/>
    <col min="10760" max="10760" width="11.7109375" style="54" bestFit="1" customWidth="1"/>
    <col min="10761" max="10762" width="9" style="54" bestFit="1" customWidth="1"/>
    <col min="10763" max="10763" width="35.85546875" style="54" customWidth="1"/>
    <col min="10764" max="10764" width="11.7109375" style="54" bestFit="1" customWidth="1"/>
    <col min="10765" max="10766" width="9" style="54" bestFit="1" customWidth="1"/>
    <col min="10767" max="10767" width="35.85546875" style="54" customWidth="1"/>
    <col min="10768" max="10768" width="11.7109375" style="54" bestFit="1" customWidth="1"/>
    <col min="10769" max="10770" width="9" style="54" bestFit="1" customWidth="1"/>
    <col min="10771" max="11010" width="11.42578125" style="54"/>
    <col min="11011" max="11011" width="35.85546875" style="54" bestFit="1" customWidth="1"/>
    <col min="11012" max="11012" width="11.7109375" style="54" bestFit="1" customWidth="1"/>
    <col min="11013" max="11014" width="9" style="54" bestFit="1" customWidth="1"/>
    <col min="11015" max="11015" width="35.85546875" style="54" customWidth="1"/>
    <col min="11016" max="11016" width="11.7109375" style="54" bestFit="1" customWidth="1"/>
    <col min="11017" max="11018" width="9" style="54" bestFit="1" customWidth="1"/>
    <col min="11019" max="11019" width="35.85546875" style="54" customWidth="1"/>
    <col min="11020" max="11020" width="11.7109375" style="54" bestFit="1" customWidth="1"/>
    <col min="11021" max="11022" width="9" style="54" bestFit="1" customWidth="1"/>
    <col min="11023" max="11023" width="35.85546875" style="54" customWidth="1"/>
    <col min="11024" max="11024" width="11.7109375" style="54" bestFit="1" customWidth="1"/>
    <col min="11025" max="11026" width="9" style="54" bestFit="1" customWidth="1"/>
    <col min="11027" max="11266" width="11.42578125" style="54"/>
    <col min="11267" max="11267" width="35.85546875" style="54" bestFit="1" customWidth="1"/>
    <col min="11268" max="11268" width="11.7109375" style="54" bestFit="1" customWidth="1"/>
    <col min="11269" max="11270" width="9" style="54" bestFit="1" customWidth="1"/>
    <col min="11271" max="11271" width="35.85546875" style="54" customWidth="1"/>
    <col min="11272" max="11272" width="11.7109375" style="54" bestFit="1" customWidth="1"/>
    <col min="11273" max="11274" width="9" style="54" bestFit="1" customWidth="1"/>
    <col min="11275" max="11275" width="35.85546875" style="54" customWidth="1"/>
    <col min="11276" max="11276" width="11.7109375" style="54" bestFit="1" customWidth="1"/>
    <col min="11277" max="11278" width="9" style="54" bestFit="1" customWidth="1"/>
    <col min="11279" max="11279" width="35.85546875" style="54" customWidth="1"/>
    <col min="11280" max="11280" width="11.7109375" style="54" bestFit="1" customWidth="1"/>
    <col min="11281" max="11282" width="9" style="54" bestFit="1" customWidth="1"/>
    <col min="11283" max="11522" width="11.42578125" style="54"/>
    <col min="11523" max="11523" width="35.85546875" style="54" bestFit="1" customWidth="1"/>
    <col min="11524" max="11524" width="11.7109375" style="54" bestFit="1" customWidth="1"/>
    <col min="11525" max="11526" width="9" style="54" bestFit="1" customWidth="1"/>
    <col min="11527" max="11527" width="35.85546875" style="54" customWidth="1"/>
    <col min="11528" max="11528" width="11.7109375" style="54" bestFit="1" customWidth="1"/>
    <col min="11529" max="11530" width="9" style="54" bestFit="1" customWidth="1"/>
    <col min="11531" max="11531" width="35.85546875" style="54" customWidth="1"/>
    <col min="11532" max="11532" width="11.7109375" style="54" bestFit="1" customWidth="1"/>
    <col min="11533" max="11534" width="9" style="54" bestFit="1" customWidth="1"/>
    <col min="11535" max="11535" width="35.85546875" style="54" customWidth="1"/>
    <col min="11536" max="11536" width="11.7109375" style="54" bestFit="1" customWidth="1"/>
    <col min="11537" max="11538" width="9" style="54" bestFit="1" customWidth="1"/>
    <col min="11539" max="11778" width="11.42578125" style="54"/>
    <col min="11779" max="11779" width="35.85546875" style="54" bestFit="1" customWidth="1"/>
    <col min="11780" max="11780" width="11.7109375" style="54" bestFit="1" customWidth="1"/>
    <col min="11781" max="11782" width="9" style="54" bestFit="1" customWidth="1"/>
    <col min="11783" max="11783" width="35.85546875" style="54" customWidth="1"/>
    <col min="11784" max="11784" width="11.7109375" style="54" bestFit="1" customWidth="1"/>
    <col min="11785" max="11786" width="9" style="54" bestFit="1" customWidth="1"/>
    <col min="11787" max="11787" width="35.85546875" style="54" customWidth="1"/>
    <col min="11788" max="11788" width="11.7109375" style="54" bestFit="1" customWidth="1"/>
    <col min="11789" max="11790" width="9" style="54" bestFit="1" customWidth="1"/>
    <col min="11791" max="11791" width="35.85546875" style="54" customWidth="1"/>
    <col min="11792" max="11792" width="11.7109375" style="54" bestFit="1" customWidth="1"/>
    <col min="11793" max="11794" width="9" style="54" bestFit="1" customWidth="1"/>
    <col min="11795" max="12034" width="11.42578125" style="54"/>
    <col min="12035" max="12035" width="35.85546875" style="54" bestFit="1" customWidth="1"/>
    <col min="12036" max="12036" width="11.7109375" style="54" bestFit="1" customWidth="1"/>
    <col min="12037" max="12038" width="9" style="54" bestFit="1" customWidth="1"/>
    <col min="12039" max="12039" width="35.85546875" style="54" customWidth="1"/>
    <col min="12040" max="12040" width="11.7109375" style="54" bestFit="1" customWidth="1"/>
    <col min="12041" max="12042" width="9" style="54" bestFit="1" customWidth="1"/>
    <col min="12043" max="12043" width="35.85546875" style="54" customWidth="1"/>
    <col min="12044" max="12044" width="11.7109375" style="54" bestFit="1" customWidth="1"/>
    <col min="12045" max="12046" width="9" style="54" bestFit="1" customWidth="1"/>
    <col min="12047" max="12047" width="35.85546875" style="54" customWidth="1"/>
    <col min="12048" max="12048" width="11.7109375" style="54" bestFit="1" customWidth="1"/>
    <col min="12049" max="12050" width="9" style="54" bestFit="1" customWidth="1"/>
    <col min="12051" max="12290" width="11.42578125" style="54"/>
    <col min="12291" max="12291" width="35.85546875" style="54" bestFit="1" customWidth="1"/>
    <col min="12292" max="12292" width="11.7109375" style="54" bestFit="1" customWidth="1"/>
    <col min="12293" max="12294" width="9" style="54" bestFit="1" customWidth="1"/>
    <col min="12295" max="12295" width="35.85546875" style="54" customWidth="1"/>
    <col min="12296" max="12296" width="11.7109375" style="54" bestFit="1" customWidth="1"/>
    <col min="12297" max="12298" width="9" style="54" bestFit="1" customWidth="1"/>
    <col min="12299" max="12299" width="35.85546875" style="54" customWidth="1"/>
    <col min="12300" max="12300" width="11.7109375" style="54" bestFit="1" customWidth="1"/>
    <col min="12301" max="12302" width="9" style="54" bestFit="1" customWidth="1"/>
    <col min="12303" max="12303" width="35.85546875" style="54" customWidth="1"/>
    <col min="12304" max="12304" width="11.7109375" style="54" bestFit="1" customWidth="1"/>
    <col min="12305" max="12306" width="9" style="54" bestFit="1" customWidth="1"/>
    <col min="12307" max="12546" width="11.42578125" style="54"/>
    <col min="12547" max="12547" width="35.85546875" style="54" bestFit="1" customWidth="1"/>
    <col min="12548" max="12548" width="11.7109375" style="54" bestFit="1" customWidth="1"/>
    <col min="12549" max="12550" width="9" style="54" bestFit="1" customWidth="1"/>
    <col min="12551" max="12551" width="35.85546875" style="54" customWidth="1"/>
    <col min="12552" max="12552" width="11.7109375" style="54" bestFit="1" customWidth="1"/>
    <col min="12553" max="12554" width="9" style="54" bestFit="1" customWidth="1"/>
    <col min="12555" max="12555" width="35.85546875" style="54" customWidth="1"/>
    <col min="12556" max="12556" width="11.7109375" style="54" bestFit="1" customWidth="1"/>
    <col min="12557" max="12558" width="9" style="54" bestFit="1" customWidth="1"/>
    <col min="12559" max="12559" width="35.85546875" style="54" customWidth="1"/>
    <col min="12560" max="12560" width="11.7109375" style="54" bestFit="1" customWidth="1"/>
    <col min="12561" max="12562" width="9" style="54" bestFit="1" customWidth="1"/>
    <col min="12563" max="12802" width="11.42578125" style="54"/>
    <col min="12803" max="12803" width="35.85546875" style="54" bestFit="1" customWidth="1"/>
    <col min="12804" max="12804" width="11.7109375" style="54" bestFit="1" customWidth="1"/>
    <col min="12805" max="12806" width="9" style="54" bestFit="1" customWidth="1"/>
    <col min="12807" max="12807" width="35.85546875" style="54" customWidth="1"/>
    <col min="12808" max="12808" width="11.7109375" style="54" bestFit="1" customWidth="1"/>
    <col min="12809" max="12810" width="9" style="54" bestFit="1" customWidth="1"/>
    <col min="12811" max="12811" width="35.85546875" style="54" customWidth="1"/>
    <col min="12812" max="12812" width="11.7109375" style="54" bestFit="1" customWidth="1"/>
    <col min="12813" max="12814" width="9" style="54" bestFit="1" customWidth="1"/>
    <col min="12815" max="12815" width="35.85546875" style="54" customWidth="1"/>
    <col min="12816" max="12816" width="11.7109375" style="54" bestFit="1" customWidth="1"/>
    <col min="12817" max="12818" width="9" style="54" bestFit="1" customWidth="1"/>
    <col min="12819" max="13058" width="11.42578125" style="54"/>
    <col min="13059" max="13059" width="35.85546875" style="54" bestFit="1" customWidth="1"/>
    <col min="13060" max="13060" width="11.7109375" style="54" bestFit="1" customWidth="1"/>
    <col min="13061" max="13062" width="9" style="54" bestFit="1" customWidth="1"/>
    <col min="13063" max="13063" width="35.85546875" style="54" customWidth="1"/>
    <col min="13064" max="13064" width="11.7109375" style="54" bestFit="1" customWidth="1"/>
    <col min="13065" max="13066" width="9" style="54" bestFit="1" customWidth="1"/>
    <col min="13067" max="13067" width="35.85546875" style="54" customWidth="1"/>
    <col min="13068" max="13068" width="11.7109375" style="54" bestFit="1" customWidth="1"/>
    <col min="13069" max="13070" width="9" style="54" bestFit="1" customWidth="1"/>
    <col min="13071" max="13071" width="35.85546875" style="54" customWidth="1"/>
    <col min="13072" max="13072" width="11.7109375" style="54" bestFit="1" customWidth="1"/>
    <col min="13073" max="13074" width="9" style="54" bestFit="1" customWidth="1"/>
    <col min="13075" max="13314" width="11.42578125" style="54"/>
    <col min="13315" max="13315" width="35.85546875" style="54" bestFit="1" customWidth="1"/>
    <col min="13316" max="13316" width="11.7109375" style="54" bestFit="1" customWidth="1"/>
    <col min="13317" max="13318" width="9" style="54" bestFit="1" customWidth="1"/>
    <col min="13319" max="13319" width="35.85546875" style="54" customWidth="1"/>
    <col min="13320" max="13320" width="11.7109375" style="54" bestFit="1" customWidth="1"/>
    <col min="13321" max="13322" width="9" style="54" bestFit="1" customWidth="1"/>
    <col min="13323" max="13323" width="35.85546875" style="54" customWidth="1"/>
    <col min="13324" max="13324" width="11.7109375" style="54" bestFit="1" customWidth="1"/>
    <col min="13325" max="13326" width="9" style="54" bestFit="1" customWidth="1"/>
    <col min="13327" max="13327" width="35.85546875" style="54" customWidth="1"/>
    <col min="13328" max="13328" width="11.7109375" style="54" bestFit="1" customWidth="1"/>
    <col min="13329" max="13330" width="9" style="54" bestFit="1" customWidth="1"/>
    <col min="13331" max="13570" width="11.42578125" style="54"/>
    <col min="13571" max="13571" width="35.85546875" style="54" bestFit="1" customWidth="1"/>
    <col min="13572" max="13572" width="11.7109375" style="54" bestFit="1" customWidth="1"/>
    <col min="13573" max="13574" width="9" style="54" bestFit="1" customWidth="1"/>
    <col min="13575" max="13575" width="35.85546875" style="54" customWidth="1"/>
    <col min="13576" max="13576" width="11.7109375" style="54" bestFit="1" customWidth="1"/>
    <col min="13577" max="13578" width="9" style="54" bestFit="1" customWidth="1"/>
    <col min="13579" max="13579" width="35.85546875" style="54" customWidth="1"/>
    <col min="13580" max="13580" width="11.7109375" style="54" bestFit="1" customWidth="1"/>
    <col min="13581" max="13582" width="9" style="54" bestFit="1" customWidth="1"/>
    <col min="13583" max="13583" width="35.85546875" style="54" customWidth="1"/>
    <col min="13584" max="13584" width="11.7109375" style="54" bestFit="1" customWidth="1"/>
    <col min="13585" max="13586" width="9" style="54" bestFit="1" customWidth="1"/>
    <col min="13587" max="13826" width="11.42578125" style="54"/>
    <col min="13827" max="13827" width="35.85546875" style="54" bestFit="1" customWidth="1"/>
    <col min="13828" max="13828" width="11.7109375" style="54" bestFit="1" customWidth="1"/>
    <col min="13829" max="13830" width="9" style="54" bestFit="1" customWidth="1"/>
    <col min="13831" max="13831" width="35.85546875" style="54" customWidth="1"/>
    <col min="13832" max="13832" width="11.7109375" style="54" bestFit="1" customWidth="1"/>
    <col min="13833" max="13834" width="9" style="54" bestFit="1" customWidth="1"/>
    <col min="13835" max="13835" width="35.85546875" style="54" customWidth="1"/>
    <col min="13836" max="13836" width="11.7109375" style="54" bestFit="1" customWidth="1"/>
    <col min="13837" max="13838" width="9" style="54" bestFit="1" customWidth="1"/>
    <col min="13839" max="13839" width="35.85546875" style="54" customWidth="1"/>
    <col min="13840" max="13840" width="11.7109375" style="54" bestFit="1" customWidth="1"/>
    <col min="13841" max="13842" width="9" style="54" bestFit="1" customWidth="1"/>
    <col min="13843" max="14082" width="11.42578125" style="54"/>
    <col min="14083" max="14083" width="35.85546875" style="54" bestFit="1" customWidth="1"/>
    <col min="14084" max="14084" width="11.7109375" style="54" bestFit="1" customWidth="1"/>
    <col min="14085" max="14086" width="9" style="54" bestFit="1" customWidth="1"/>
    <col min="14087" max="14087" width="35.85546875" style="54" customWidth="1"/>
    <col min="14088" max="14088" width="11.7109375" style="54" bestFit="1" customWidth="1"/>
    <col min="14089" max="14090" width="9" style="54" bestFit="1" customWidth="1"/>
    <col min="14091" max="14091" width="35.85546875" style="54" customWidth="1"/>
    <col min="14092" max="14092" width="11.7109375" style="54" bestFit="1" customWidth="1"/>
    <col min="14093" max="14094" width="9" style="54" bestFit="1" customWidth="1"/>
    <col min="14095" max="14095" width="35.85546875" style="54" customWidth="1"/>
    <col min="14096" max="14096" width="11.7109375" style="54" bestFit="1" customWidth="1"/>
    <col min="14097" max="14098" width="9" style="54" bestFit="1" customWidth="1"/>
    <col min="14099" max="14338" width="11.42578125" style="54"/>
    <col min="14339" max="14339" width="35.85546875" style="54" bestFit="1" customWidth="1"/>
    <col min="14340" max="14340" width="11.7109375" style="54" bestFit="1" customWidth="1"/>
    <col min="14341" max="14342" width="9" style="54" bestFit="1" customWidth="1"/>
    <col min="14343" max="14343" width="35.85546875" style="54" customWidth="1"/>
    <col min="14344" max="14344" width="11.7109375" style="54" bestFit="1" customWidth="1"/>
    <col min="14345" max="14346" width="9" style="54" bestFit="1" customWidth="1"/>
    <col min="14347" max="14347" width="35.85546875" style="54" customWidth="1"/>
    <col min="14348" max="14348" width="11.7109375" style="54" bestFit="1" customWidth="1"/>
    <col min="14349" max="14350" width="9" style="54" bestFit="1" customWidth="1"/>
    <col min="14351" max="14351" width="35.85546875" style="54" customWidth="1"/>
    <col min="14352" max="14352" width="11.7109375" style="54" bestFit="1" customWidth="1"/>
    <col min="14353" max="14354" width="9" style="54" bestFit="1" customWidth="1"/>
    <col min="14355" max="14594" width="11.42578125" style="54"/>
    <col min="14595" max="14595" width="35.85546875" style="54" bestFit="1" customWidth="1"/>
    <col min="14596" max="14596" width="11.7109375" style="54" bestFit="1" customWidth="1"/>
    <col min="14597" max="14598" width="9" style="54" bestFit="1" customWidth="1"/>
    <col min="14599" max="14599" width="35.85546875" style="54" customWidth="1"/>
    <col min="14600" max="14600" width="11.7109375" style="54" bestFit="1" customWidth="1"/>
    <col min="14601" max="14602" width="9" style="54" bestFit="1" customWidth="1"/>
    <col min="14603" max="14603" width="35.85546875" style="54" customWidth="1"/>
    <col min="14604" max="14604" width="11.7109375" style="54" bestFit="1" customWidth="1"/>
    <col min="14605" max="14606" width="9" style="54" bestFit="1" customWidth="1"/>
    <col min="14607" max="14607" width="35.85546875" style="54" customWidth="1"/>
    <col min="14608" max="14608" width="11.7109375" style="54" bestFit="1" customWidth="1"/>
    <col min="14609" max="14610" width="9" style="54" bestFit="1" customWidth="1"/>
    <col min="14611" max="14850" width="11.42578125" style="54"/>
    <col min="14851" max="14851" width="35.85546875" style="54" bestFit="1" customWidth="1"/>
    <col min="14852" max="14852" width="11.7109375" style="54" bestFit="1" customWidth="1"/>
    <col min="14853" max="14854" width="9" style="54" bestFit="1" customWidth="1"/>
    <col min="14855" max="14855" width="35.85546875" style="54" customWidth="1"/>
    <col min="14856" max="14856" width="11.7109375" style="54" bestFit="1" customWidth="1"/>
    <col min="14857" max="14858" width="9" style="54" bestFit="1" customWidth="1"/>
    <col min="14859" max="14859" width="35.85546875" style="54" customWidth="1"/>
    <col min="14860" max="14860" width="11.7109375" style="54" bestFit="1" customWidth="1"/>
    <col min="14861" max="14862" width="9" style="54" bestFit="1" customWidth="1"/>
    <col min="14863" max="14863" width="35.85546875" style="54" customWidth="1"/>
    <col min="14864" max="14864" width="11.7109375" style="54" bestFit="1" customWidth="1"/>
    <col min="14865" max="14866" width="9" style="54" bestFit="1" customWidth="1"/>
    <col min="14867" max="15106" width="11.42578125" style="54"/>
    <col min="15107" max="15107" width="35.85546875" style="54" bestFit="1" customWidth="1"/>
    <col min="15108" max="15108" width="11.7109375" style="54" bestFit="1" customWidth="1"/>
    <col min="15109" max="15110" width="9" style="54" bestFit="1" customWidth="1"/>
    <col min="15111" max="15111" width="35.85546875" style="54" customWidth="1"/>
    <col min="15112" max="15112" width="11.7109375" style="54" bestFit="1" customWidth="1"/>
    <col min="15113" max="15114" width="9" style="54" bestFit="1" customWidth="1"/>
    <col min="15115" max="15115" width="35.85546875" style="54" customWidth="1"/>
    <col min="15116" max="15116" width="11.7109375" style="54" bestFit="1" customWidth="1"/>
    <col min="15117" max="15118" width="9" style="54" bestFit="1" customWidth="1"/>
    <col min="15119" max="15119" width="35.85546875" style="54" customWidth="1"/>
    <col min="15120" max="15120" width="11.7109375" style="54" bestFit="1" customWidth="1"/>
    <col min="15121" max="15122" width="9" style="54" bestFit="1" customWidth="1"/>
    <col min="15123" max="15362" width="11.42578125" style="54"/>
    <col min="15363" max="15363" width="35.85546875" style="54" bestFit="1" customWidth="1"/>
    <col min="15364" max="15364" width="11.7109375" style="54" bestFit="1" customWidth="1"/>
    <col min="15365" max="15366" width="9" style="54" bestFit="1" customWidth="1"/>
    <col min="15367" max="15367" width="35.85546875" style="54" customWidth="1"/>
    <col min="15368" max="15368" width="11.7109375" style="54" bestFit="1" customWidth="1"/>
    <col min="15369" max="15370" width="9" style="54" bestFit="1" customWidth="1"/>
    <col min="15371" max="15371" width="35.85546875" style="54" customWidth="1"/>
    <col min="15372" max="15372" width="11.7109375" style="54" bestFit="1" customWidth="1"/>
    <col min="15373" max="15374" width="9" style="54" bestFit="1" customWidth="1"/>
    <col min="15375" max="15375" width="35.85546875" style="54" customWidth="1"/>
    <col min="15376" max="15376" width="11.7109375" style="54" bestFit="1" customWidth="1"/>
    <col min="15377" max="15378" width="9" style="54" bestFit="1" customWidth="1"/>
    <col min="15379" max="15618" width="11.42578125" style="54"/>
    <col min="15619" max="15619" width="35.85546875" style="54" bestFit="1" customWidth="1"/>
    <col min="15620" max="15620" width="11.7109375" style="54" bestFit="1" customWidth="1"/>
    <col min="15621" max="15622" width="9" style="54" bestFit="1" customWidth="1"/>
    <col min="15623" max="15623" width="35.85546875" style="54" customWidth="1"/>
    <col min="15624" max="15624" width="11.7109375" style="54" bestFit="1" customWidth="1"/>
    <col min="15625" max="15626" width="9" style="54" bestFit="1" customWidth="1"/>
    <col min="15627" max="15627" width="35.85546875" style="54" customWidth="1"/>
    <col min="15628" max="15628" width="11.7109375" style="54" bestFit="1" customWidth="1"/>
    <col min="15629" max="15630" width="9" style="54" bestFit="1" customWidth="1"/>
    <col min="15631" max="15631" width="35.85546875" style="54" customWidth="1"/>
    <col min="15632" max="15632" width="11.7109375" style="54" bestFit="1" customWidth="1"/>
    <col min="15633" max="15634" width="9" style="54" bestFit="1" customWidth="1"/>
    <col min="15635" max="15874" width="11.42578125" style="54"/>
    <col min="15875" max="15875" width="35.85546875" style="54" bestFit="1" customWidth="1"/>
    <col min="15876" max="15876" width="11.7109375" style="54" bestFit="1" customWidth="1"/>
    <col min="15877" max="15878" width="9" style="54" bestFit="1" customWidth="1"/>
    <col min="15879" max="15879" width="35.85546875" style="54" customWidth="1"/>
    <col min="15880" max="15880" width="11.7109375" style="54" bestFit="1" customWidth="1"/>
    <col min="15881" max="15882" width="9" style="54" bestFit="1" customWidth="1"/>
    <col min="15883" max="15883" width="35.85546875" style="54" customWidth="1"/>
    <col min="15884" max="15884" width="11.7109375" style="54" bestFit="1" customWidth="1"/>
    <col min="15885" max="15886" width="9" style="54" bestFit="1" customWidth="1"/>
    <col min="15887" max="15887" width="35.85546875" style="54" customWidth="1"/>
    <col min="15888" max="15888" width="11.7109375" style="54" bestFit="1" customWidth="1"/>
    <col min="15889" max="15890" width="9" style="54" bestFit="1" customWidth="1"/>
    <col min="15891" max="16130" width="11.42578125" style="54"/>
    <col min="16131" max="16131" width="35.85546875" style="54" bestFit="1" customWidth="1"/>
    <col min="16132" max="16132" width="11.7109375" style="54" bestFit="1" customWidth="1"/>
    <col min="16133" max="16134" width="9" style="54" bestFit="1" customWidth="1"/>
    <col min="16135" max="16135" width="35.85546875" style="54" customWidth="1"/>
    <col min="16136" max="16136" width="11.7109375" style="54" bestFit="1" customWidth="1"/>
    <col min="16137" max="16138" width="9" style="54" bestFit="1" customWidth="1"/>
    <col min="16139" max="16139" width="35.85546875" style="54" customWidth="1"/>
    <col min="16140" max="16140" width="11.7109375" style="54" bestFit="1" customWidth="1"/>
    <col min="16141" max="16142" width="9" style="54" bestFit="1" customWidth="1"/>
    <col min="16143" max="16143" width="35.85546875" style="54" customWidth="1"/>
    <col min="16144" max="16144" width="11.7109375" style="54" bestFit="1" customWidth="1"/>
    <col min="16145" max="16146" width="9" style="54" bestFit="1" customWidth="1"/>
    <col min="16147" max="16384" width="11.42578125" style="54"/>
  </cols>
  <sheetData>
    <row r="1" spans="3:20">
      <c r="C1" s="221" t="s">
        <v>190</v>
      </c>
    </row>
    <row r="2" spans="3:20">
      <c r="C2" s="221"/>
    </row>
    <row r="3" spans="3:20">
      <c r="C3" s="15" t="s">
        <v>207</v>
      </c>
    </row>
    <row r="4" spans="3:20">
      <c r="C4" s="15" t="s">
        <v>208</v>
      </c>
    </row>
    <row r="5" spans="3:20">
      <c r="C5" s="225" t="s">
        <v>209</v>
      </c>
    </row>
    <row r="6" spans="3:20" ht="15.75" customHeight="1">
      <c r="C6" s="225" t="s">
        <v>210</v>
      </c>
      <c r="D6" s="127"/>
      <c r="E6" s="127"/>
      <c r="F6" s="127"/>
      <c r="G6" s="127"/>
      <c r="H6" s="127"/>
      <c r="I6" s="128"/>
      <c r="J6" s="129"/>
      <c r="K6" s="127"/>
      <c r="L6" s="130"/>
      <c r="M6" s="128"/>
      <c r="N6" s="129"/>
      <c r="O6" s="127"/>
      <c r="P6" s="130"/>
      <c r="Q6" s="128"/>
      <c r="R6" s="129"/>
    </row>
    <row r="7" spans="3:20" ht="15.75" customHeight="1">
      <c r="C7" s="20" t="str">
        <f>+'1.Estado Situación'!A3</f>
        <v>La Distribuidora, S.A.</v>
      </c>
      <c r="D7" s="127"/>
      <c r="E7" s="127"/>
      <c r="F7" s="127"/>
      <c r="G7" s="127"/>
      <c r="H7" s="127"/>
      <c r="I7" s="128"/>
      <c r="J7" s="129"/>
      <c r="K7" s="127"/>
      <c r="L7" s="130"/>
      <c r="M7" s="128"/>
      <c r="N7" s="129"/>
      <c r="O7" s="127"/>
      <c r="P7" s="130"/>
      <c r="Q7" s="128"/>
      <c r="R7" s="129"/>
    </row>
    <row r="8" spans="3:20">
      <c r="C8" s="131" t="s">
        <v>121</v>
      </c>
      <c r="D8" s="131"/>
      <c r="E8" s="131"/>
      <c r="F8" s="131"/>
      <c r="G8" s="131"/>
      <c r="H8" s="131"/>
      <c r="I8" s="128"/>
      <c r="J8" s="129"/>
      <c r="K8" s="131"/>
      <c r="L8" s="130"/>
      <c r="M8" s="128"/>
      <c r="N8" s="129"/>
      <c r="O8" s="131"/>
      <c r="P8" s="130"/>
      <c r="Q8" s="128"/>
      <c r="R8" s="129"/>
    </row>
    <row r="9" spans="3:20">
      <c r="C9" s="131" t="s">
        <v>16</v>
      </c>
      <c r="D9" s="131"/>
      <c r="E9" s="131"/>
      <c r="F9" s="131"/>
      <c r="G9" s="131"/>
      <c r="H9" s="131"/>
      <c r="I9" s="128"/>
      <c r="J9" s="132"/>
      <c r="K9" s="131"/>
      <c r="L9" s="130"/>
      <c r="M9" s="128"/>
      <c r="N9" s="132"/>
      <c r="O9" s="131"/>
      <c r="P9" s="130"/>
      <c r="Q9" s="128"/>
      <c r="R9" s="132"/>
    </row>
    <row r="10" spans="3:20">
      <c r="C10" s="15"/>
      <c r="D10" s="15"/>
      <c r="E10" s="15"/>
      <c r="F10" s="15"/>
      <c r="G10" s="15"/>
      <c r="H10" s="15"/>
      <c r="I10" s="15"/>
      <c r="J10" s="15"/>
      <c r="K10" s="15"/>
      <c r="L10" s="15"/>
      <c r="M10" s="15"/>
      <c r="N10" s="15"/>
      <c r="O10" s="15"/>
      <c r="P10" s="15"/>
      <c r="Q10" s="15"/>
      <c r="R10" s="15"/>
    </row>
    <row r="11" spans="3:20">
      <c r="C11" s="151"/>
      <c r="D11" s="152">
        <f>+'1.Estado Situación'!B7</f>
        <v>39721</v>
      </c>
      <c r="E11" s="153"/>
      <c r="F11" s="153"/>
      <c r="G11" s="151"/>
      <c r="H11" s="152">
        <f>+'1.Estado Situación'!C7</f>
        <v>40086</v>
      </c>
      <c r="I11" s="153"/>
      <c r="J11" s="153"/>
      <c r="K11" s="151"/>
      <c r="L11" s="152">
        <f>+'1.Estado Situación'!D7</f>
        <v>40451</v>
      </c>
      <c r="M11" s="153"/>
      <c r="N11" s="153"/>
      <c r="O11" s="151"/>
      <c r="P11" s="152">
        <f>+'1.Estado Situación'!E7</f>
        <v>40816</v>
      </c>
      <c r="Q11" s="153"/>
      <c r="R11" s="153"/>
      <c r="S11" s="415"/>
      <c r="T11" s="415"/>
    </row>
    <row r="12" spans="3:20">
      <c r="C12" s="54" t="str">
        <f>+'1.Estado Situación'!A15</f>
        <v>Total activo corriente</v>
      </c>
      <c r="D12" s="44">
        <f>+'1.Estado Situación'!B15</f>
        <v>3737888963.8066669</v>
      </c>
      <c r="E12" s="125">
        <f>+D12/$D$14</f>
        <v>0.60172310582515143</v>
      </c>
      <c r="F12" s="133"/>
      <c r="G12" s="54" t="str">
        <f>+C12</f>
        <v>Total activo corriente</v>
      </c>
      <c r="H12" s="44">
        <f>+'1.Estado Situación'!C15</f>
        <v>3229240950.7933335</v>
      </c>
      <c r="I12" s="125">
        <f>+H12/$H$14</f>
        <v>0.55322928870937615</v>
      </c>
      <c r="J12" s="133"/>
      <c r="K12" s="54" t="str">
        <f>+Table22[[#This Row],[Column1]]</f>
        <v>Total activo corriente</v>
      </c>
      <c r="L12" s="44">
        <f>+'1.Estado Situación'!D15</f>
        <v>3064919337.8400002</v>
      </c>
      <c r="M12" s="125">
        <f>+L12/L14</f>
        <v>0.56171029833573982</v>
      </c>
      <c r="N12" s="133"/>
      <c r="O12" s="54" t="str">
        <f>+Table23[[#This Row],[Column1]]</f>
        <v>Total activo corriente</v>
      </c>
      <c r="P12" s="44">
        <f>+'1.Estado Situación'!E15</f>
        <v>2221308264.2199998</v>
      </c>
      <c r="Q12" s="124">
        <f>+P12/P14</f>
        <v>0.40738637832330249</v>
      </c>
      <c r="R12" s="133"/>
      <c r="S12" s="415"/>
      <c r="T12" s="415"/>
    </row>
    <row r="13" spans="3:20" ht="13.5" thickBot="1">
      <c r="C13" s="154" t="str">
        <f>+'1.Estado Situación'!A20</f>
        <v>Total activos no corrientes</v>
      </c>
      <c r="D13" s="155">
        <f>+'1.Estado Situación'!B20</f>
        <v>2474086158.3399997</v>
      </c>
      <c r="E13" s="156">
        <f>+D13/$D$14</f>
        <v>0.39827689417484852</v>
      </c>
      <c r="F13" s="133"/>
      <c r="G13" s="154" t="str">
        <f>+C13</f>
        <v>Total activos no corrientes</v>
      </c>
      <c r="H13" s="155">
        <f>+'1.Estado Situación'!C20</f>
        <v>2607834230.686667</v>
      </c>
      <c r="I13" s="156">
        <f>+H13/$H$14</f>
        <v>0.44677071129062385</v>
      </c>
      <c r="J13" s="133"/>
      <c r="K13" s="154" t="s">
        <v>23</v>
      </c>
      <c r="L13" s="155">
        <f>+'1.Estado Situación'!D20</f>
        <v>2391486476.5466666</v>
      </c>
      <c r="M13" s="156">
        <f>+L13/L14</f>
        <v>0.43828970166426012</v>
      </c>
      <c r="N13" s="133"/>
      <c r="O13" s="154" t="s">
        <v>23</v>
      </c>
      <c r="P13" s="155">
        <f>+'1.Estado Situación'!E20</f>
        <v>3231275284.0133338</v>
      </c>
      <c r="Q13" s="412">
        <f>+P13/P14</f>
        <v>0.59261362167669751</v>
      </c>
      <c r="R13" s="133"/>
      <c r="S13" s="415"/>
      <c r="T13" s="415"/>
    </row>
    <row r="14" spans="3:20" ht="13.5" thickTop="1">
      <c r="C14" s="94" t="str">
        <f>+'1.Estado Situación'!A21</f>
        <v>Total activos</v>
      </c>
      <c r="D14" s="95">
        <f>+D12+D13</f>
        <v>6211975122.1466665</v>
      </c>
      <c r="E14" s="133">
        <f>+D14/$D$14</f>
        <v>1</v>
      </c>
      <c r="G14" s="94" t="str">
        <f>+C14</f>
        <v>Total activos</v>
      </c>
      <c r="H14" s="95">
        <f>+H12+H13</f>
        <v>5837075181.4800005</v>
      </c>
      <c r="I14" s="133">
        <f>+H14/$H$14</f>
        <v>1</v>
      </c>
      <c r="K14" s="94" t="str">
        <f>+Table22[[#This Row],[Column1]]</f>
        <v>Total activos</v>
      </c>
      <c r="L14" s="95">
        <f>+L12+L13</f>
        <v>5456405814.3866673</v>
      </c>
      <c r="M14" s="133">
        <f>+L14/L14</f>
        <v>1</v>
      </c>
      <c r="O14" s="94" t="str">
        <f>+Table23[[#This Row],[Column1]]</f>
        <v>Total activos</v>
      </c>
      <c r="P14" s="95">
        <f>+P12+P13</f>
        <v>5452583548.2333336</v>
      </c>
      <c r="Q14" s="413">
        <f>+P14/P14</f>
        <v>1</v>
      </c>
      <c r="S14" s="415"/>
      <c r="T14" s="415"/>
    </row>
    <row r="15" spans="3:20">
      <c r="D15" s="44">
        <f>+D14-'1.Estado Situación'!B21</f>
        <v>0</v>
      </c>
      <c r="H15" s="44"/>
      <c r="I15" s="54"/>
      <c r="L15" s="44"/>
      <c r="M15" s="54"/>
      <c r="P15" s="44"/>
      <c r="Q15" s="414"/>
      <c r="S15" s="415"/>
      <c r="T15" s="415"/>
    </row>
    <row r="16" spans="3:20">
      <c r="C16" s="100"/>
      <c r="D16" s="134"/>
      <c r="E16" s="125"/>
      <c r="F16" s="133"/>
      <c r="G16" s="100"/>
      <c r="H16" s="134"/>
      <c r="I16" s="125"/>
      <c r="J16" s="133"/>
      <c r="K16" s="100"/>
      <c r="L16" s="134"/>
      <c r="M16" s="125"/>
      <c r="N16" s="133"/>
      <c r="O16" s="100"/>
      <c r="P16" s="134"/>
      <c r="Q16" s="124"/>
      <c r="R16" s="133"/>
      <c r="S16" s="415"/>
      <c r="T16" s="415"/>
    </row>
    <row r="17" spans="3:22">
      <c r="C17" s="54" t="s">
        <v>83</v>
      </c>
      <c r="D17" s="44">
        <f>+'1.Estado Situación'!B30+'1.Estado Situación'!B33-'1.Estado Situación'!B29</f>
        <v>3506696654.4466667</v>
      </c>
      <c r="E17" s="125">
        <f>+D17/$D$20</f>
        <v>0.56450590762103059</v>
      </c>
      <c r="F17" s="133">
        <f>+((D13-D19)/D13)+((D12-D18)/D12)</f>
        <v>1.0002731621173588</v>
      </c>
      <c r="G17" s="54" t="str">
        <f>+C17</f>
        <v>Pasivo corriente</v>
      </c>
      <c r="H17" s="44">
        <f>+'1.Estado Situación'!C30+'1.Estado Situación'!C33-'1.Estado Situación'!C29</f>
        <v>3146315423.9666667</v>
      </c>
      <c r="I17" s="125">
        <f>+H17/$H$20</f>
        <v>0.53902259713038569</v>
      </c>
      <c r="J17" s="133">
        <f>+((H13-H19)/H13)+((H12-H18)/H12)</f>
        <v>1.0116972268315747</v>
      </c>
      <c r="K17" s="54" t="str">
        <f>+G17</f>
        <v>Pasivo corriente</v>
      </c>
      <c r="L17" s="44">
        <f>+'1.Estado Situación'!D30+'1.Estado Situación'!D33-'1.Estado Situación'!D29</f>
        <v>2479307923.5066662</v>
      </c>
      <c r="M17" s="125">
        <f>+L17/$L$20</f>
        <v>0.45438481077957649</v>
      </c>
      <c r="N17" s="133">
        <f>+((L13-L19)/L13)+((L12-L18)/L12)</f>
        <v>0.83454060900729332</v>
      </c>
      <c r="O17" s="54" t="str">
        <f>+K17</f>
        <v>Pasivo corriente</v>
      </c>
      <c r="P17" s="44">
        <f>+'1.Estado Situación'!E30+'1.Estado Situación'!E33-'1.Estado Situación'!E29</f>
        <v>2258549910.8000007</v>
      </c>
      <c r="Q17" s="124">
        <f>+Table24[[#This Row],[Column2]]/$P$20</f>
        <v>0.41421647019636831</v>
      </c>
      <c r="R17" s="413">
        <f>200%-R18-R19</f>
        <v>1.0115253710398036</v>
      </c>
      <c r="S17" s="417">
        <f>1-Table24[[#This Row],[Column4]]</f>
        <v>-1.1525371039803556E-2</v>
      </c>
      <c r="T17" s="415"/>
    </row>
    <row r="18" spans="3:22" s="126" customFormat="1">
      <c r="C18" s="100" t="s">
        <v>84</v>
      </c>
      <c r="D18" s="44">
        <f>+'1.Estado Situación'!B36-'1.Estado Situación'!B33+'1.Estado Situación'!B29</f>
        <v>685785268.68666685</v>
      </c>
      <c r="E18" s="125">
        <f>+D18/$D$20</f>
        <v>0.11039729799331208</v>
      </c>
      <c r="F18" s="214">
        <f>+Table20[[#This Row],[Column1]]/D12</f>
        <v>0.18346860362279541</v>
      </c>
      <c r="G18" s="100" t="str">
        <f>+C18</f>
        <v>Pasivo a largo plazo</v>
      </c>
      <c r="H18" s="44">
        <f>+'1.Estado Situación'!C36-'1.Estado Situación'!C33+'1.Estado Situación'!C29</f>
        <v>589457186.49333334</v>
      </c>
      <c r="I18" s="125">
        <f>+H18/$H$20</f>
        <v>0.10098502557643528</v>
      </c>
      <c r="J18" s="214">
        <f>+Table22[[#This Row],[Column2]]/H12</f>
        <v>0.18253738122220961</v>
      </c>
      <c r="K18" s="100" t="str">
        <f>+G18</f>
        <v>Pasivo a largo plazo</v>
      </c>
      <c r="L18" s="44">
        <f>+'1.Estado Situación'!D36-'1.Estado Situación'!D33+'1.Estado Situación'!D29</f>
        <v>864350268.69333339</v>
      </c>
      <c r="M18" s="125">
        <f>+L18/$L$20</f>
        <v>0.15841018760267772</v>
      </c>
      <c r="N18" s="214">
        <f>+Table23[[#This Row],[Column2]]/L12</f>
        <v>0.28201403476493564</v>
      </c>
      <c r="O18" s="100" t="str">
        <f>+K18</f>
        <v>Pasivo a largo plazo</v>
      </c>
      <c r="P18" s="44">
        <f>+'1.Estado Situación'!E36-'1.Estado Situación'!E33+'1.Estado Situación'!E29</f>
        <v>1110977453.3266666</v>
      </c>
      <c r="Q18" s="124">
        <f>+Table24[[#This Row],[Column2]]/$P$20</f>
        <v>0.20375248604611099</v>
      </c>
      <c r="R18" s="419">
        <f>+Table24[[#This Row],[Column2]]/P13</f>
        <v>0.34382011920284355</v>
      </c>
      <c r="S18" s="418"/>
      <c r="T18" s="416">
        <f>+Table24[[#This Row],[Column2]]+P19-P13</f>
        <v>-37241646.580000401</v>
      </c>
    </row>
    <row r="19" spans="3:22" s="126" customFormat="1" ht="13.5" thickBot="1">
      <c r="C19" s="154" t="str">
        <f>+'1.Estado Situación'!A44</f>
        <v>Total patrimonio</v>
      </c>
      <c r="D19" s="155">
        <f>+'1.Estado Situación'!B44</f>
        <v>2019493199.0133333</v>
      </c>
      <c r="E19" s="156">
        <f>+D19/$D$20</f>
        <v>0.32509679438565725</v>
      </c>
      <c r="F19" s="133">
        <f>+Table20[[#This Row],[Column1]]/D13</f>
        <v>0.81625823425984578</v>
      </c>
      <c r="G19" s="154" t="str">
        <f>+C19</f>
        <v>Total patrimonio</v>
      </c>
      <c r="H19" s="155">
        <f>+'1.Estado Situación'!C44</f>
        <v>2101302571.0200002</v>
      </c>
      <c r="I19" s="156">
        <f>+H19/$H$20</f>
        <v>0.35999237729317918</v>
      </c>
      <c r="J19" s="133">
        <f>+Table22[[#This Row],[Column2]]/H13</f>
        <v>0.80576539194621577</v>
      </c>
      <c r="K19" s="154" t="str">
        <f>+G19</f>
        <v>Total patrimonio</v>
      </c>
      <c r="L19" s="155">
        <f>+'1.Estado Situación'!D44</f>
        <v>2112747622.1866667</v>
      </c>
      <c r="M19" s="156">
        <f>+L19/$L$20</f>
        <v>0.38720500161774579</v>
      </c>
      <c r="N19" s="133">
        <f>+Table23[[#This Row],[Column2]]/L13</f>
        <v>0.88344535622777098</v>
      </c>
      <c r="O19" s="154" t="str">
        <f>+K19</f>
        <v>Total patrimonio</v>
      </c>
      <c r="P19" s="155">
        <f>+'1.Estado Situación'!E44</f>
        <v>2083056184.1066666</v>
      </c>
      <c r="Q19" s="412">
        <f>+Table24[[#This Row],[Column2]]/$P$20</f>
        <v>0.38203104375752078</v>
      </c>
      <c r="R19" s="419">
        <f>+Table24[[#This Row],[Column2]]/P13</f>
        <v>0.64465450975735283</v>
      </c>
      <c r="S19" s="417">
        <f>1-Table24[[#This Row],[Column4]]</f>
        <v>0.35534549024264717</v>
      </c>
      <c r="T19" s="416"/>
    </row>
    <row r="20" spans="3:22" s="126" customFormat="1" ht="13.5" thickTop="1">
      <c r="C20" s="94" t="str">
        <f>+'1.Estado Situación'!A45</f>
        <v>Total pasivo y patrimonio</v>
      </c>
      <c r="D20" s="95">
        <f>+D19+D18+D17+D16</f>
        <v>6211975122.1466675</v>
      </c>
      <c r="E20" s="413">
        <f>SUBTOTAL(109,E17:E19)</f>
        <v>1</v>
      </c>
      <c r="F20" s="133">
        <f>SUBTOTAL(109,F11:F19)</f>
        <v>2</v>
      </c>
      <c r="G20" s="94" t="str">
        <f>+C20</f>
        <v>Total pasivo y patrimonio</v>
      </c>
      <c r="H20" s="95">
        <f>+H19+H18+H17+H16</f>
        <v>5837075181.4799995</v>
      </c>
      <c r="I20" s="413">
        <f>SUBTOTAL(109,I17:I19)</f>
        <v>1.0000000000000002</v>
      </c>
      <c r="J20" s="125">
        <f>SUBTOTAL(109,J11:J19)</f>
        <v>2</v>
      </c>
      <c r="K20" s="94" t="str">
        <f>+G20</f>
        <v>Total pasivo y patrimonio</v>
      </c>
      <c r="L20" s="95">
        <f>+L19+L18+L17+L16</f>
        <v>5456405814.3866663</v>
      </c>
      <c r="M20" s="413">
        <f>SUBTOTAL(109,M17:M19)</f>
        <v>1</v>
      </c>
      <c r="N20" s="125">
        <f>SUBTOTAL(109,N11:N19)</f>
        <v>2</v>
      </c>
      <c r="O20" s="94" t="str">
        <f>+K20</f>
        <v>Total pasivo y patrimonio</v>
      </c>
      <c r="P20" s="95">
        <f>+P19+P18+P17+P16</f>
        <v>5452583548.2333336</v>
      </c>
      <c r="Q20" s="413">
        <f>SUBTOTAL(109,Q17:Q19)</f>
        <v>1</v>
      </c>
      <c r="R20" s="133">
        <f>SUBTOTAL(109,R11:R19)</f>
        <v>2</v>
      </c>
      <c r="S20" s="416"/>
      <c r="T20" s="416"/>
    </row>
    <row r="21" spans="3:22" s="126" customFormat="1">
      <c r="C21" s="53"/>
      <c r="D21" s="95">
        <f>+D20-D14</f>
        <v>0</v>
      </c>
      <c r="E21" s="135"/>
      <c r="F21" s="133"/>
      <c r="G21" s="53"/>
      <c r="H21" s="95">
        <f>+H20-H14</f>
        <v>0</v>
      </c>
      <c r="I21" s="135"/>
      <c r="J21" s="133"/>
      <c r="K21" s="53"/>
      <c r="L21" s="95">
        <f>+L20-L14</f>
        <v>0</v>
      </c>
      <c r="M21" s="135"/>
      <c r="N21" s="133"/>
      <c r="O21" s="53"/>
      <c r="P21" s="95">
        <f>+P20-P14</f>
        <v>0</v>
      </c>
      <c r="Q21" s="135"/>
      <c r="R21" s="133"/>
    </row>
    <row r="22" spans="3:22">
      <c r="C22" s="54" t="str">
        <f>+C12</f>
        <v>Total activo corriente</v>
      </c>
      <c r="D22" s="125">
        <f>+E12</f>
        <v>0.60172310582515143</v>
      </c>
      <c r="G22" s="54" t="str">
        <f>+G12</f>
        <v>Total activo corriente</v>
      </c>
      <c r="H22" s="125">
        <f>+I12</f>
        <v>0.55322928870937615</v>
      </c>
      <c r="I22" s="54"/>
      <c r="K22" s="54" t="str">
        <f>+Table26[[#This Row],[Column1]]</f>
        <v>Total activo corriente</v>
      </c>
      <c r="L22" s="125">
        <f>+M12</f>
        <v>0.56171029833573982</v>
      </c>
      <c r="M22" s="54"/>
      <c r="O22" s="54" t="str">
        <f>+O12</f>
        <v>Total activo corriente</v>
      </c>
      <c r="P22" s="125">
        <f>+Q12</f>
        <v>0.40738637832330249</v>
      </c>
      <c r="Q22" s="54"/>
    </row>
    <row r="23" spans="3:22">
      <c r="C23" s="54" t="str">
        <f>+C13</f>
        <v>Total activos no corrientes</v>
      </c>
      <c r="D23" s="125">
        <f>+E13</f>
        <v>0.39827689417484852</v>
      </c>
      <c r="G23" s="54" t="str">
        <f>+G13</f>
        <v>Total activos no corrientes</v>
      </c>
      <c r="H23" s="125">
        <f>+I13</f>
        <v>0.44677071129062385</v>
      </c>
      <c r="I23" s="54"/>
      <c r="K23" s="54" t="str">
        <f>+K13</f>
        <v>Total activos no corrientes</v>
      </c>
      <c r="L23" s="125">
        <f>+M13</f>
        <v>0.43828970166426012</v>
      </c>
      <c r="M23" s="54"/>
      <c r="O23" s="54" t="str">
        <f>+O13</f>
        <v>Total activos no corrientes</v>
      </c>
      <c r="P23" s="125">
        <f>+Q13</f>
        <v>0.59261362167669751</v>
      </c>
      <c r="Q23" s="54"/>
    </row>
    <row r="24" spans="3:22">
      <c r="C24" s="54" t="str">
        <f>+C17</f>
        <v>Pasivo corriente</v>
      </c>
      <c r="E24" s="136">
        <f>+E17</f>
        <v>0.56450590762103059</v>
      </c>
      <c r="G24" s="54" t="str">
        <f>+G17</f>
        <v>Pasivo corriente</v>
      </c>
      <c r="I24" s="136">
        <f>+I17</f>
        <v>0.53902259713038569</v>
      </c>
      <c r="K24" s="54" t="str">
        <f>+K17</f>
        <v>Pasivo corriente</v>
      </c>
      <c r="M24" s="136">
        <f>+M17</f>
        <v>0.45438481077957649</v>
      </c>
      <c r="O24" s="54" t="str">
        <f>+O17</f>
        <v>Pasivo corriente</v>
      </c>
      <c r="Q24" s="136">
        <f>+Q17</f>
        <v>0.41421647019636831</v>
      </c>
      <c r="S24" s="136"/>
      <c r="T24" s="136"/>
      <c r="U24" s="136"/>
      <c r="V24" s="136"/>
    </row>
    <row r="25" spans="3:22">
      <c r="C25" s="54" t="str">
        <f>+C18</f>
        <v>Pasivo a largo plazo</v>
      </c>
      <c r="D25" s="95"/>
      <c r="E25" s="125">
        <f>+E18</f>
        <v>0.11039729799331208</v>
      </c>
      <c r="G25" s="54" t="str">
        <f>+G18</f>
        <v>Pasivo a largo plazo</v>
      </c>
      <c r="H25" s="95"/>
      <c r="I25" s="125">
        <f>+I18</f>
        <v>0.10098502557643528</v>
      </c>
      <c r="K25" s="54" t="str">
        <f>+K18</f>
        <v>Pasivo a largo plazo</v>
      </c>
      <c r="L25" s="95"/>
      <c r="M25" s="125">
        <f>+M18</f>
        <v>0.15841018760267772</v>
      </c>
      <c r="O25" s="54" t="str">
        <f>+O18</f>
        <v>Pasivo a largo plazo</v>
      </c>
      <c r="P25" s="95"/>
      <c r="Q25" s="125">
        <f>+Q18</f>
        <v>0.20375248604611099</v>
      </c>
      <c r="S25" s="136"/>
      <c r="T25" s="136"/>
      <c r="U25" s="136"/>
      <c r="V25" s="136"/>
    </row>
    <row r="26" spans="3:22" ht="13.5" thickBot="1">
      <c r="C26" s="154" t="str">
        <f>+C19</f>
        <v>Total patrimonio</v>
      </c>
      <c r="D26" s="155"/>
      <c r="E26" s="156">
        <f>+E19</f>
        <v>0.32509679438565725</v>
      </c>
      <c r="G26" s="154" t="str">
        <f>+G19</f>
        <v>Total patrimonio</v>
      </c>
      <c r="H26" s="155"/>
      <c r="I26" s="156">
        <f>+I19</f>
        <v>0.35999237729317918</v>
      </c>
      <c r="K26" s="154" t="str">
        <f>+K19</f>
        <v>Total patrimonio</v>
      </c>
      <c r="L26" s="155"/>
      <c r="M26" s="156">
        <f>+M19</f>
        <v>0.38720500161774579</v>
      </c>
      <c r="O26" s="154" t="str">
        <f>+O19</f>
        <v>Total patrimonio</v>
      </c>
      <c r="P26" s="155"/>
      <c r="Q26" s="156">
        <f>+Q19</f>
        <v>0.38203104375752078</v>
      </c>
      <c r="S26" s="136"/>
      <c r="T26" s="136"/>
      <c r="U26" s="136"/>
      <c r="V26" s="136"/>
    </row>
    <row r="27" spans="3:22" ht="13.5" thickTop="1">
      <c r="D27" s="137">
        <f>SUM(D22:D26)</f>
        <v>1</v>
      </c>
      <c r="E27" s="136">
        <f>SUM(E24:E26)</f>
        <v>1</v>
      </c>
      <c r="H27" s="137">
        <f>SUM(H22:H26)</f>
        <v>1</v>
      </c>
      <c r="I27" s="136">
        <f>SUM(I24:I26)</f>
        <v>1.0000000000000002</v>
      </c>
      <c r="L27" s="137">
        <f>SUM(L22:L26)</f>
        <v>1</v>
      </c>
      <c r="M27" s="136">
        <f>SUM(M24:M26)</f>
        <v>1</v>
      </c>
      <c r="P27" s="137">
        <f>SUM(P22:P25)</f>
        <v>1</v>
      </c>
      <c r="Q27" s="136">
        <f>SUM(Q24:Q26)</f>
        <v>1</v>
      </c>
    </row>
    <row r="31" spans="3:22">
      <c r="D31" s="125"/>
    </row>
    <row r="66" spans="2:13">
      <c r="C66" s="54" t="s">
        <v>180</v>
      </c>
    </row>
    <row r="67" spans="2:13">
      <c r="C67" s="138" t="s">
        <v>205</v>
      </c>
    </row>
    <row r="68" spans="2:13">
      <c r="C68" s="138" t="s">
        <v>206</v>
      </c>
      <c r="I68" s="218"/>
      <c r="J68" s="218"/>
      <c r="K68" s="218"/>
      <c r="L68" s="218"/>
      <c r="M68" s="218"/>
    </row>
    <row r="69" spans="2:13">
      <c r="C69" s="138"/>
      <c r="I69" s="218"/>
      <c r="J69" s="218"/>
      <c r="K69" s="218"/>
      <c r="L69" s="218"/>
      <c r="M69" s="218"/>
    </row>
    <row r="70" spans="2:13">
      <c r="C70" s="216"/>
      <c r="D70" s="222"/>
      <c r="E70" s="222"/>
      <c r="F70" s="222"/>
      <c r="G70" s="222"/>
      <c r="I70" s="218"/>
      <c r="J70" s="218"/>
      <c r="K70" s="218"/>
      <c r="L70" s="218"/>
      <c r="M70" s="218"/>
    </row>
    <row r="71" spans="2:13">
      <c r="C71" s="216" t="s">
        <v>211</v>
      </c>
      <c r="D71" s="222"/>
      <c r="E71" s="222"/>
      <c r="F71" s="222"/>
      <c r="G71" s="222"/>
      <c r="I71" s="218"/>
      <c r="J71" s="218"/>
      <c r="K71" s="218"/>
      <c r="L71" s="218"/>
      <c r="M71" s="218"/>
    </row>
    <row r="72" spans="2:13">
      <c r="C72" s="223" t="s">
        <v>202</v>
      </c>
      <c r="D72" s="222"/>
      <c r="E72" s="222"/>
      <c r="F72" s="222"/>
      <c r="G72" s="222"/>
      <c r="I72" s="218"/>
      <c r="J72" s="219"/>
      <c r="K72" s="220"/>
      <c r="L72" s="218"/>
      <c r="M72" s="218"/>
    </row>
    <row r="73" spans="2:13">
      <c r="C73" s="217" t="s">
        <v>212</v>
      </c>
      <c r="D73" s="222"/>
      <c r="E73" s="222"/>
      <c r="F73" s="222"/>
      <c r="G73" s="222"/>
      <c r="I73" s="218"/>
      <c r="J73" s="219"/>
      <c r="K73" s="220"/>
      <c r="L73" s="218"/>
      <c r="M73" s="218"/>
    </row>
    <row r="74" spans="2:13">
      <c r="C74" s="223" t="s">
        <v>203</v>
      </c>
      <c r="D74" s="222"/>
      <c r="E74" s="222"/>
      <c r="F74" s="222"/>
      <c r="G74" s="222"/>
      <c r="I74" s="218"/>
      <c r="J74" s="220"/>
      <c r="K74" s="220"/>
      <c r="L74" s="218"/>
      <c r="M74" s="218"/>
    </row>
    <row r="75" spans="2:13">
      <c r="C75" s="217" t="s">
        <v>213</v>
      </c>
      <c r="D75" s="222"/>
      <c r="E75" s="222"/>
      <c r="F75" s="222"/>
      <c r="G75" s="222"/>
      <c r="I75" s="218"/>
      <c r="J75" s="219"/>
      <c r="K75" s="220"/>
      <c r="L75" s="218"/>
      <c r="M75" s="218"/>
    </row>
    <row r="76" spans="2:13">
      <c r="C76" s="224" t="s">
        <v>204</v>
      </c>
      <c r="D76" s="222"/>
      <c r="E76" s="222"/>
      <c r="F76" s="222"/>
      <c r="G76" s="222"/>
      <c r="I76" s="218"/>
      <c r="J76" s="220"/>
      <c r="K76" s="219"/>
      <c r="L76" s="218"/>
      <c r="M76" s="218"/>
    </row>
    <row r="77" spans="2:13" ht="13.5" thickBot="1">
      <c r="C77" s="138"/>
      <c r="I77" s="218"/>
      <c r="J77" s="220"/>
      <c r="K77" s="219"/>
      <c r="L77" s="218"/>
      <c r="M77" s="218"/>
    </row>
    <row r="78" spans="2:13" ht="14.25" thickTop="1" thickBot="1">
      <c r="B78" s="446"/>
      <c r="C78" s="446" t="s">
        <v>20</v>
      </c>
      <c r="D78" s="446" t="s">
        <v>37</v>
      </c>
      <c r="F78" s="218"/>
      <c r="G78" s="218"/>
    </row>
    <row r="79" spans="2:13" ht="14.25" thickTop="1" thickBot="1">
      <c r="B79" s="448">
        <f>+Resumen!C42</f>
        <v>39721</v>
      </c>
      <c r="C79" s="447">
        <f>100%-D79</f>
        <v>0.18374176574015422</v>
      </c>
      <c r="D79" s="447">
        <f>+Resumen!F42</f>
        <v>0.81625823425984578</v>
      </c>
      <c r="E79" s="218"/>
    </row>
    <row r="80" spans="2:13" ht="14.25" thickTop="1" thickBot="1">
      <c r="B80" s="448">
        <f>+Resumen!C43</f>
        <v>40086</v>
      </c>
      <c r="C80" s="447">
        <f t="shared" ref="C80:C82" si="0">100%-D80</f>
        <v>0.19423460805378423</v>
      </c>
      <c r="D80" s="447">
        <f>+Resumen!F43</f>
        <v>0.80576539194621577</v>
      </c>
    </row>
    <row r="81" spans="2:4" ht="14.25" thickTop="1" thickBot="1">
      <c r="B81" s="448">
        <f>+Resumen!C44</f>
        <v>40451</v>
      </c>
      <c r="C81" s="447">
        <f t="shared" si="0"/>
        <v>0.11655464377222902</v>
      </c>
      <c r="D81" s="447">
        <f>+Resumen!F44</f>
        <v>0.88344535622777098</v>
      </c>
    </row>
    <row r="82" spans="2:4" ht="14.25" thickTop="1" thickBot="1">
      <c r="B82" s="448">
        <f>+Resumen!C45</f>
        <v>40816</v>
      </c>
      <c r="C82" s="447">
        <f t="shared" si="0"/>
        <v>0.35534549024264717</v>
      </c>
      <c r="D82" s="447">
        <f>+Resumen!F45</f>
        <v>0.64465450975735283</v>
      </c>
    </row>
    <row r="83" spans="2:4" ht="13.5" thickTop="1">
      <c r="B83" s="84"/>
    </row>
    <row r="84" spans="2:4" ht="13.5" thickBot="1">
      <c r="B84" s="84"/>
    </row>
    <row r="85" spans="2:4" ht="14.25" thickTop="1" thickBot="1">
      <c r="B85" s="448"/>
      <c r="C85" s="446" t="s">
        <v>21</v>
      </c>
      <c r="D85" s="446" t="s">
        <v>341</v>
      </c>
    </row>
    <row r="86" spans="2:4" ht="14.25" thickTop="1" thickBot="1">
      <c r="B86" s="448">
        <f>+B79</f>
        <v>39721</v>
      </c>
      <c r="C86" s="447">
        <f>100%-D86</f>
        <v>0.81653139637720462</v>
      </c>
      <c r="D86" s="447">
        <f>+Resumen!F48</f>
        <v>0.18346860362279541</v>
      </c>
    </row>
    <row r="87" spans="2:4" ht="14.25" thickTop="1" thickBot="1">
      <c r="B87" s="448">
        <f t="shared" ref="B87:B89" si="1">+B80</f>
        <v>40086</v>
      </c>
      <c r="C87" s="447">
        <f t="shared" ref="C87:C89" si="2">100%-D87</f>
        <v>0.81746261877779036</v>
      </c>
      <c r="D87" s="447">
        <f>+Resumen!F49</f>
        <v>0.18253738122220961</v>
      </c>
    </row>
    <row r="88" spans="2:4" ht="14.25" thickTop="1" thickBot="1">
      <c r="B88" s="448">
        <f t="shared" si="1"/>
        <v>40451</v>
      </c>
      <c r="C88" s="447">
        <f t="shared" si="2"/>
        <v>0.71798596523506442</v>
      </c>
      <c r="D88" s="447">
        <f>+Resumen!F50</f>
        <v>0.28201403476493564</v>
      </c>
    </row>
    <row r="89" spans="2:4" ht="14.25" thickTop="1" thickBot="1">
      <c r="B89" s="448">
        <f t="shared" si="1"/>
        <v>40816</v>
      </c>
      <c r="C89" s="447">
        <f t="shared" si="2"/>
        <v>0.65617988079715639</v>
      </c>
      <c r="D89" s="447">
        <f>+Resumen!F51</f>
        <v>0.34382011920284355</v>
      </c>
    </row>
    <row r="90" spans="2:4" ht="13.5" thickTop="1">
      <c r="B90" s="84"/>
    </row>
  </sheetData>
  <hyperlinks>
    <hyperlink ref="C1" location="Indice!A1" display="Volver a la página del Indice"/>
  </hyperlinks>
  <pageMargins left="0.75" right="0.75" top="1" bottom="1" header="0" footer="0"/>
  <pageSetup paperSize="9" orientation="portrait" horizontalDpi="4294967293" verticalDpi="0" r:id="rId1"/>
  <headerFooter alignWithMargins="0"/>
  <ignoredErrors>
    <ignoredError sqref="E12:E15 M12:M14 K12:K13 I12:I15 O12:O14 Q12:Q14" calculatedColumn="1"/>
  </ignoredErrors>
  <drawing r:id="rId2"/>
  <tableParts count="9">
    <tablePart r:id="rId3"/>
    <tablePart r:id="rId4"/>
    <tablePart r:id="rId5"/>
    <tablePart r:id="rId6"/>
    <tablePart r:id="rId7"/>
    <tablePart r:id="rId8"/>
    <tablePart r:id="rId9"/>
    <tablePart r:id="rId10"/>
    <tablePart r:id="rId1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Indice</vt:lpstr>
      <vt:lpstr>1.Estado Situación</vt:lpstr>
      <vt:lpstr>2.Estado Resultados</vt:lpstr>
      <vt:lpstr>3.Flujo efectivo financiero</vt:lpstr>
      <vt:lpstr>4.A. Vertical</vt:lpstr>
      <vt:lpstr>5.A. horizontal</vt:lpstr>
      <vt:lpstr>6. Índices financieros</vt:lpstr>
      <vt:lpstr>7.Dupont</vt:lpstr>
      <vt:lpstr>8.Solidez</vt:lpstr>
      <vt:lpstr>9.Fuentes y empleos</vt:lpstr>
      <vt:lpstr>10.Puntualidad</vt:lpstr>
      <vt:lpstr>Resumen</vt:lpstr>
      <vt:lpstr>Indice!Print_Area</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Ivette</dc:creator>
  <cp:lastModifiedBy>Ivette</cp:lastModifiedBy>
  <dcterms:created xsi:type="dcterms:W3CDTF">2013-01-13T20:11:14Z</dcterms:created>
  <dcterms:modified xsi:type="dcterms:W3CDTF">2013-07-26T02:06:34Z</dcterms:modified>
</cp:coreProperties>
</file>